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95" lockStructure="1"/>
  <bookViews>
    <workbookView xWindow="-15" yWindow="105" windowWidth="24060" windowHeight="6900"/>
  </bookViews>
  <sheets>
    <sheet name="Input" sheetId="1" r:id="rId1"/>
    <sheet name="Report" sheetId="6" r:id="rId2"/>
    <sheet name="가변용량(일반)" sheetId="2" r:id="rId3"/>
  </sheets>
  <externalReferences>
    <externalReference r:id="rId4"/>
  </externalReferences>
  <definedNames>
    <definedName name="Ahmadabad">'[1]Temp Bins'!#REF!</definedName>
    <definedName name="Hyderabad">'[1]Temp Bins'!#REF!</definedName>
    <definedName name="_xlnm.Print_Area" localSheetId="0">Input!$A$1:$J$48</definedName>
    <definedName name="_xlnm.Print_Area" localSheetId="1">Report!$A$1:$I$40</definedName>
  </definedNames>
  <calcPr calcId="145621"/>
</workbook>
</file>

<file path=xl/calcChain.xml><?xml version="1.0" encoding="utf-8"?>
<calcChain xmlns="http://schemas.openxmlformats.org/spreadsheetml/2006/main">
  <c r="G37" i="1" l="1"/>
  <c r="G36" i="1"/>
  <c r="G23" i="1"/>
  <c r="G20" i="1"/>
  <c r="G19" i="1"/>
  <c r="G18" i="1"/>
  <c r="G17" i="1"/>
  <c r="G16" i="1"/>
  <c r="U52" i="2" l="1"/>
  <c r="G53" i="2" l="1"/>
  <c r="G56" i="2" s="1"/>
  <c r="H53" i="2"/>
  <c r="J53" i="2"/>
  <c r="J56" i="2" s="1"/>
  <c r="K53" i="2"/>
  <c r="K56" i="2" s="1"/>
  <c r="M53" i="2"/>
  <c r="M56" i="2" s="1"/>
  <c r="N53" i="2"/>
  <c r="P54" i="2"/>
  <c r="P55" i="2" s="1"/>
  <c r="Q54" i="2"/>
  <c r="Q55" i="2" s="1"/>
  <c r="P56" i="2"/>
  <c r="Q56" i="2"/>
  <c r="C61" i="2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D61" i="2"/>
  <c r="D62" i="2" s="1"/>
  <c r="D63" i="2" s="1"/>
  <c r="C17" i="6"/>
  <c r="C15" i="6"/>
  <c r="J90" i="2" l="1"/>
  <c r="J88" i="2"/>
  <c r="J86" i="2"/>
  <c r="J84" i="2"/>
  <c r="J82" i="2"/>
  <c r="J68" i="2"/>
  <c r="J66" i="2"/>
  <c r="J64" i="2"/>
  <c r="J62" i="2"/>
  <c r="J60" i="2"/>
  <c r="J89" i="2"/>
  <c r="J87" i="2"/>
  <c r="J85" i="2"/>
  <c r="J83" i="2"/>
  <c r="J81" i="2"/>
  <c r="J67" i="2"/>
  <c r="J65" i="2"/>
  <c r="J63" i="2"/>
  <c r="J61" i="2"/>
  <c r="O53" i="2"/>
  <c r="I53" i="2"/>
  <c r="N56" i="2"/>
  <c r="O56" i="2" s="1"/>
  <c r="R54" i="2"/>
  <c r="J54" i="2"/>
  <c r="I61" i="2"/>
  <c r="I62" i="2"/>
  <c r="I60" i="2"/>
  <c r="I63" i="2"/>
  <c r="D64" i="2"/>
  <c r="D65" i="2" s="1"/>
  <c r="K65" i="2" s="1"/>
  <c r="H56" i="2"/>
  <c r="L53" i="2"/>
  <c r="R55" i="2"/>
  <c r="Q63" i="2"/>
  <c r="M63" i="2"/>
  <c r="K63" i="2"/>
  <c r="G63" i="2"/>
  <c r="Q62" i="2"/>
  <c r="M62" i="2"/>
  <c r="K62" i="2"/>
  <c r="G62" i="2"/>
  <c r="Q61" i="2"/>
  <c r="M61" i="2"/>
  <c r="K61" i="2"/>
  <c r="G61" i="2"/>
  <c r="Q60" i="2"/>
  <c r="M60" i="2"/>
  <c r="K60" i="2"/>
  <c r="G60" i="2"/>
  <c r="R56" i="2"/>
  <c r="L56" i="2"/>
  <c r="M54" i="2"/>
  <c r="K54" i="2"/>
  <c r="J79" i="2" s="1"/>
  <c r="G54" i="2"/>
  <c r="H90" i="2" l="1"/>
  <c r="H88" i="2"/>
  <c r="H86" i="2"/>
  <c r="H84" i="2"/>
  <c r="H82" i="2"/>
  <c r="H68" i="2"/>
  <c r="H66" i="2"/>
  <c r="H64" i="2"/>
  <c r="H62" i="2"/>
  <c r="H60" i="2"/>
  <c r="H89" i="2"/>
  <c r="H87" i="2"/>
  <c r="H85" i="2"/>
  <c r="H83" i="2"/>
  <c r="H81" i="2"/>
  <c r="H67" i="2"/>
  <c r="H65" i="2"/>
  <c r="H63" i="2"/>
  <c r="H61" i="2"/>
  <c r="J70" i="2"/>
  <c r="J74" i="2"/>
  <c r="J78" i="2"/>
  <c r="J71" i="2"/>
  <c r="J75" i="2"/>
  <c r="J69" i="2"/>
  <c r="J73" i="2"/>
  <c r="J77" i="2"/>
  <c r="J72" i="2"/>
  <c r="J76" i="2"/>
  <c r="J80" i="2"/>
  <c r="L88" i="2"/>
  <c r="L64" i="2"/>
  <c r="L89" i="2"/>
  <c r="L87" i="2"/>
  <c r="L85" i="2"/>
  <c r="L83" i="2"/>
  <c r="L81" i="2"/>
  <c r="L67" i="2"/>
  <c r="L65" i="2"/>
  <c r="L63" i="2"/>
  <c r="L61" i="2"/>
  <c r="L90" i="2"/>
  <c r="L86" i="2"/>
  <c r="L84" i="2"/>
  <c r="L82" i="2"/>
  <c r="L68" i="2"/>
  <c r="L66" i="2"/>
  <c r="L62" i="2"/>
  <c r="L60" i="2"/>
  <c r="Q64" i="2"/>
  <c r="N54" i="2"/>
  <c r="O54" i="2" s="1"/>
  <c r="K64" i="2"/>
  <c r="I56" i="2"/>
  <c r="H54" i="2"/>
  <c r="H78" i="2" s="1"/>
  <c r="G64" i="2"/>
  <c r="M64" i="2"/>
  <c r="G65" i="2"/>
  <c r="I64" i="2"/>
  <c r="M65" i="2"/>
  <c r="D66" i="2"/>
  <c r="Q65" i="2"/>
  <c r="I65" i="2"/>
  <c r="L54" i="2"/>
  <c r="H71" i="2" l="1"/>
  <c r="H75" i="2"/>
  <c r="H79" i="2"/>
  <c r="H72" i="2"/>
  <c r="H76" i="2"/>
  <c r="H80" i="2"/>
  <c r="H69" i="2"/>
  <c r="H73" i="2"/>
  <c r="H77" i="2"/>
  <c r="H70" i="2"/>
  <c r="H74" i="2"/>
  <c r="L72" i="2"/>
  <c r="L78" i="2"/>
  <c r="L69" i="2"/>
  <c r="L73" i="2"/>
  <c r="L77" i="2"/>
  <c r="L74" i="2"/>
  <c r="L70" i="2"/>
  <c r="L76" i="2"/>
  <c r="L80" i="2"/>
  <c r="L71" i="2"/>
  <c r="L75" i="2"/>
  <c r="L79" i="2"/>
  <c r="G66" i="2"/>
  <c r="M66" i="2"/>
  <c r="Q66" i="2"/>
  <c r="D67" i="2"/>
  <c r="K66" i="2"/>
  <c r="I66" i="2"/>
  <c r="I54" i="2"/>
  <c r="G67" i="2" l="1"/>
  <c r="M67" i="2"/>
  <c r="D68" i="2"/>
  <c r="Q67" i="2"/>
  <c r="I67" i="2"/>
  <c r="K67" i="2"/>
  <c r="Q68" i="2" l="1"/>
  <c r="D69" i="2"/>
  <c r="G68" i="2"/>
  <c r="M68" i="2"/>
  <c r="K68" i="2"/>
  <c r="I68" i="2"/>
  <c r="M69" i="2" l="1"/>
  <c r="D70" i="2"/>
  <c r="I69" i="2"/>
  <c r="K69" i="2"/>
  <c r="G69" i="2"/>
  <c r="M70" i="2" l="1"/>
  <c r="D71" i="2"/>
  <c r="I70" i="2"/>
  <c r="G70" i="2"/>
  <c r="K70" i="2"/>
  <c r="D72" i="2" l="1"/>
  <c r="M71" i="2"/>
  <c r="I71" i="2"/>
  <c r="K71" i="2"/>
  <c r="G71" i="2"/>
  <c r="M72" i="2" l="1"/>
  <c r="D73" i="2"/>
  <c r="I72" i="2"/>
  <c r="G72" i="2"/>
  <c r="K72" i="2"/>
  <c r="M73" i="2" l="1"/>
  <c r="D74" i="2"/>
  <c r="K73" i="2"/>
  <c r="I73" i="2"/>
  <c r="G73" i="2"/>
  <c r="M74" i="2" l="1"/>
  <c r="D75" i="2"/>
  <c r="I74" i="2"/>
  <c r="G74" i="2"/>
  <c r="K74" i="2"/>
  <c r="M75" i="2" l="1"/>
  <c r="D76" i="2"/>
  <c r="I75" i="2"/>
  <c r="K75" i="2"/>
  <c r="G75" i="2"/>
  <c r="M76" i="2" l="1"/>
  <c r="D77" i="2"/>
  <c r="I76" i="2"/>
  <c r="G76" i="2"/>
  <c r="K76" i="2"/>
  <c r="M77" i="2" l="1"/>
  <c r="D78" i="2"/>
  <c r="K77" i="2"/>
  <c r="I77" i="2"/>
  <c r="G77" i="2"/>
  <c r="M78" i="2" l="1"/>
  <c r="I78" i="2"/>
  <c r="G78" i="2"/>
  <c r="K78" i="2"/>
  <c r="E19" i="1" l="1"/>
  <c r="E18" i="1"/>
  <c r="E17" i="1"/>
  <c r="C18" i="6" s="1"/>
  <c r="E18" i="6" s="1"/>
  <c r="E16" i="1"/>
  <c r="C16" i="6" s="1"/>
  <c r="C37" i="6" l="1"/>
  <c r="C20" i="6"/>
  <c r="E20" i="1"/>
  <c r="C19" i="6" s="1"/>
  <c r="C21" i="6"/>
  <c r="C11" i="6"/>
  <c r="H11" i="1"/>
  <c r="G11" i="6" s="1"/>
  <c r="E23" i="1" l="1"/>
  <c r="C24" i="6" s="1"/>
  <c r="G10" i="6"/>
  <c r="G9" i="6"/>
  <c r="G8" i="6"/>
  <c r="G7" i="6"/>
  <c r="C10" i="6"/>
  <c r="C9" i="6"/>
  <c r="C8" i="6"/>
  <c r="C7" i="6"/>
  <c r="E16" i="6" l="1"/>
  <c r="E91" i="2" l="1"/>
  <c r="C79" i="2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33" i="1"/>
  <c r="C35" i="1" s="1"/>
  <c r="C32" i="1"/>
  <c r="C34" i="1" s="1"/>
  <c r="C31" i="1" l="1"/>
  <c r="C30" i="1"/>
  <c r="C27" i="1" l="1"/>
  <c r="C29" i="1" s="1"/>
  <c r="C26" i="1"/>
  <c r="C28" i="1" s="1"/>
  <c r="D79" i="2" l="1"/>
  <c r="D80" i="2" l="1"/>
  <c r="D81" i="2" l="1"/>
  <c r="D82" i="2" l="1"/>
  <c r="D83" i="2" l="1"/>
  <c r="D84" i="2" l="1"/>
  <c r="D85" i="2" l="1"/>
  <c r="D86" i="2" l="1"/>
  <c r="D87" i="2" l="1"/>
  <c r="D88" i="2" l="1"/>
  <c r="D89" i="2" l="1"/>
  <c r="D90" i="2" l="1"/>
  <c r="J15" i="2" l="1"/>
  <c r="E36" i="2"/>
  <c r="C22" i="2"/>
  <c r="D22" i="2" s="1"/>
  <c r="D21" i="2"/>
  <c r="C23" i="2" l="1"/>
  <c r="C24" i="2" s="1"/>
  <c r="C25" i="2" s="1"/>
  <c r="D24" i="2" l="1"/>
  <c r="D23" i="2"/>
  <c r="C26" i="2"/>
  <c r="D25" i="2"/>
  <c r="C27" i="2" l="1"/>
  <c r="D26" i="2"/>
  <c r="C28" i="2" l="1"/>
  <c r="D27" i="2"/>
  <c r="C29" i="2" l="1"/>
  <c r="D28" i="2"/>
  <c r="C30" i="2" l="1"/>
  <c r="D29" i="2"/>
  <c r="C31" i="2" l="1"/>
  <c r="D30" i="2"/>
  <c r="C32" i="2" l="1"/>
  <c r="D31" i="2"/>
  <c r="C33" i="2" l="1"/>
  <c r="D32" i="2"/>
  <c r="C34" i="2" l="1"/>
  <c r="D33" i="2"/>
  <c r="C35" i="2" l="1"/>
  <c r="D35" i="2" s="1"/>
  <c r="D34" i="2"/>
  <c r="N15" i="2" l="1"/>
  <c r="M15" i="2"/>
  <c r="K15" i="2"/>
  <c r="H16" i="2"/>
  <c r="G16" i="2"/>
  <c r="H4" i="2"/>
  <c r="H3" i="2"/>
  <c r="B4" i="6"/>
  <c r="B3" i="6"/>
  <c r="U50" i="2" l="1"/>
  <c r="H15" i="2"/>
  <c r="H34" i="2" s="1"/>
  <c r="G15" i="2"/>
  <c r="J16" i="2"/>
  <c r="M16" i="2"/>
  <c r="Q15" i="2" s="1"/>
  <c r="F34" i="2"/>
  <c r="F32" i="2"/>
  <c r="F30" i="2"/>
  <c r="F28" i="2"/>
  <c r="F26" i="2"/>
  <c r="F24" i="2"/>
  <c r="F22" i="2"/>
  <c r="F35" i="2"/>
  <c r="F31" i="2"/>
  <c r="F27" i="2"/>
  <c r="F23" i="2"/>
  <c r="F33" i="2"/>
  <c r="F29" i="2"/>
  <c r="F25" i="2"/>
  <c r="F21" i="2"/>
  <c r="K16" i="2"/>
  <c r="J35" i="2" s="1"/>
  <c r="N16" i="2"/>
  <c r="L35" i="2" s="1"/>
  <c r="U51" i="2" l="1"/>
  <c r="U53" i="2"/>
  <c r="H32" i="2"/>
  <c r="Q14" i="2"/>
  <c r="S14" i="2" s="1"/>
  <c r="Q16" i="2"/>
  <c r="U16" i="2" s="1"/>
  <c r="H31" i="2"/>
  <c r="H23" i="2"/>
  <c r="H24" i="2"/>
  <c r="L25" i="2"/>
  <c r="L21" i="2"/>
  <c r="L29" i="2"/>
  <c r="H27" i="2"/>
  <c r="H35" i="2"/>
  <c r="H28" i="2"/>
  <c r="L23" i="2"/>
  <c r="L27" i="2"/>
  <c r="L31" i="2"/>
  <c r="I24" i="2"/>
  <c r="I35" i="2"/>
  <c r="I28" i="2"/>
  <c r="L33" i="2"/>
  <c r="I31" i="2"/>
  <c r="I22" i="2"/>
  <c r="I26" i="2"/>
  <c r="I32" i="2"/>
  <c r="H21" i="2"/>
  <c r="H25" i="2"/>
  <c r="H29" i="2"/>
  <c r="H33" i="2"/>
  <c r="H22" i="2"/>
  <c r="H26" i="2"/>
  <c r="H30" i="2"/>
  <c r="K34" i="2"/>
  <c r="K26" i="2"/>
  <c r="K25" i="2"/>
  <c r="K22" i="2"/>
  <c r="K30" i="2"/>
  <c r="K21" i="2"/>
  <c r="K29" i="2"/>
  <c r="J25" i="2"/>
  <c r="S15" i="2"/>
  <c r="L22" i="2"/>
  <c r="L24" i="2"/>
  <c r="L26" i="2"/>
  <c r="L28" i="2"/>
  <c r="L30" i="2"/>
  <c r="L32" i="2"/>
  <c r="L34" i="2"/>
  <c r="J21" i="2"/>
  <c r="J28" i="2"/>
  <c r="I29" i="2"/>
  <c r="I33" i="2"/>
  <c r="I21" i="2"/>
  <c r="I23" i="2"/>
  <c r="I25" i="2"/>
  <c r="I27" i="2"/>
  <c r="I30" i="2"/>
  <c r="I34" i="2"/>
  <c r="J32" i="2"/>
  <c r="J23" i="2"/>
  <c r="J27" i="2"/>
  <c r="J30" i="2"/>
  <c r="J34" i="2"/>
  <c r="K24" i="2"/>
  <c r="K28" i="2"/>
  <c r="K32" i="2"/>
  <c r="U15" i="2"/>
  <c r="K23" i="2"/>
  <c r="K27" i="2"/>
  <c r="K33" i="2"/>
  <c r="J22" i="2"/>
  <c r="J24" i="2"/>
  <c r="J26" i="2"/>
  <c r="J29" i="2"/>
  <c r="J31" i="2"/>
  <c r="J33" i="2"/>
  <c r="K31" i="2"/>
  <c r="K35" i="2"/>
  <c r="G34" i="2"/>
  <c r="G32" i="2"/>
  <c r="G30" i="2"/>
  <c r="G28" i="2"/>
  <c r="G26" i="2"/>
  <c r="G24" i="2"/>
  <c r="G22" i="2"/>
  <c r="G35" i="2"/>
  <c r="G33" i="2"/>
  <c r="G31" i="2"/>
  <c r="G29" i="2"/>
  <c r="G27" i="2"/>
  <c r="G25" i="2"/>
  <c r="G23" i="2"/>
  <c r="G21" i="2"/>
  <c r="F61" i="2" l="1"/>
  <c r="O45" i="2"/>
  <c r="F62" i="2"/>
  <c r="P45" i="2"/>
  <c r="S45" i="2"/>
  <c r="F63" i="2"/>
  <c r="F64" i="2"/>
  <c r="F60" i="2"/>
  <c r="T45" i="2"/>
  <c r="U45" i="2"/>
  <c r="Q45" i="2"/>
  <c r="F65" i="2"/>
  <c r="R4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P26" i="2"/>
  <c r="S16" i="2"/>
  <c r="Q27" i="2" s="1"/>
  <c r="U14" i="2"/>
  <c r="P22" i="2"/>
  <c r="P34" i="2"/>
  <c r="P21" i="2"/>
  <c r="P29" i="2"/>
  <c r="P30" i="2"/>
  <c r="P23" i="2"/>
  <c r="P31" i="2"/>
  <c r="M32" i="2"/>
  <c r="N28" i="2"/>
  <c r="O28" i="2" s="1"/>
  <c r="M24" i="2"/>
  <c r="M35" i="2"/>
  <c r="N27" i="2"/>
  <c r="O27" i="2" s="1"/>
  <c r="M23" i="2"/>
  <c r="P32" i="2"/>
  <c r="P28" i="2"/>
  <c r="P24" i="2"/>
  <c r="P35" i="2"/>
  <c r="P27" i="2"/>
  <c r="R27" i="2" s="1"/>
  <c r="N22" i="2"/>
  <c r="M34" i="2"/>
  <c r="N30" i="2"/>
  <c r="N26" i="2"/>
  <c r="R26" i="2" s="1"/>
  <c r="M31" i="2"/>
  <c r="M29" i="2"/>
  <c r="N21" i="2"/>
  <c r="M33" i="2"/>
  <c r="P33" i="2"/>
  <c r="M25" i="2"/>
  <c r="P25" i="2"/>
  <c r="N34" i="2"/>
  <c r="M30" i="2"/>
  <c r="M26" i="2"/>
  <c r="M22" i="2"/>
  <c r="N31" i="2"/>
  <c r="N23" i="2"/>
  <c r="N29" i="2"/>
  <c r="M21" i="2"/>
  <c r="N32" i="2"/>
  <c r="M28" i="2"/>
  <c r="N24" i="2"/>
  <c r="N35" i="2"/>
  <c r="M27" i="2"/>
  <c r="N33" i="2"/>
  <c r="N25" i="2"/>
  <c r="R22" i="2" l="1"/>
  <c r="Q28" i="2"/>
  <c r="T28" i="2" s="1"/>
  <c r="T78" i="2"/>
  <c r="N78" i="2"/>
  <c r="R78" i="2"/>
  <c r="T76" i="2"/>
  <c r="N76" i="2"/>
  <c r="R76" i="2"/>
  <c r="T74" i="2"/>
  <c r="N74" i="2"/>
  <c r="R74" i="2"/>
  <c r="T72" i="2"/>
  <c r="N72" i="2"/>
  <c r="R72" i="2"/>
  <c r="R70" i="2"/>
  <c r="T70" i="2"/>
  <c r="N70" i="2"/>
  <c r="N68" i="2"/>
  <c r="O68" i="2" s="1"/>
  <c r="T68" i="2"/>
  <c r="R68" i="2"/>
  <c r="T66" i="2"/>
  <c r="R66" i="2"/>
  <c r="N66" i="2"/>
  <c r="O66" i="2" s="1"/>
  <c r="P66" i="2" s="1"/>
  <c r="R65" i="2"/>
  <c r="T65" i="2"/>
  <c r="N65" i="2"/>
  <c r="O65" i="2" s="1"/>
  <c r="U46" i="2"/>
  <c r="U47" i="2"/>
  <c r="R60" i="2"/>
  <c r="N60" i="2"/>
  <c r="O60" i="2" s="1"/>
  <c r="P60" i="2" s="1"/>
  <c r="T60" i="2"/>
  <c r="R63" i="2"/>
  <c r="T63" i="2"/>
  <c r="N63" i="2"/>
  <c r="O63" i="2" s="1"/>
  <c r="P63" i="2" s="1"/>
  <c r="P47" i="2"/>
  <c r="P46" i="2"/>
  <c r="O47" i="2"/>
  <c r="O46" i="2"/>
  <c r="Q31" i="2"/>
  <c r="T31" i="2" s="1"/>
  <c r="Q34" i="2"/>
  <c r="T34" i="2" s="1"/>
  <c r="Q23" i="2"/>
  <c r="T23" i="2" s="1"/>
  <c r="Q35" i="2"/>
  <c r="T35" i="2" s="1"/>
  <c r="Q33" i="2"/>
  <c r="T33" i="2" s="1"/>
  <c r="Q25" i="2"/>
  <c r="T25" i="2" s="1"/>
  <c r="T77" i="2"/>
  <c r="N77" i="2"/>
  <c r="R77" i="2"/>
  <c r="R75" i="2"/>
  <c r="T75" i="2"/>
  <c r="N75" i="2"/>
  <c r="R73" i="2"/>
  <c r="T73" i="2"/>
  <c r="N73" i="2"/>
  <c r="T71" i="2"/>
  <c r="N71" i="2"/>
  <c r="R71" i="2"/>
  <c r="R69" i="2"/>
  <c r="T69" i="2"/>
  <c r="N69" i="2"/>
  <c r="R67" i="2"/>
  <c r="N67" i="2"/>
  <c r="O67" i="2" s="1"/>
  <c r="T67" i="2"/>
  <c r="R46" i="2"/>
  <c r="R47" i="2"/>
  <c r="Q47" i="2"/>
  <c r="Q46" i="2"/>
  <c r="T46" i="2"/>
  <c r="T47" i="2"/>
  <c r="R64" i="2"/>
  <c r="T64" i="2"/>
  <c r="N64" i="2"/>
  <c r="O64" i="2" s="1"/>
  <c r="P64" i="2" s="1"/>
  <c r="S47" i="2"/>
  <c r="S46" i="2"/>
  <c r="R62" i="2"/>
  <c r="T62" i="2"/>
  <c r="N62" i="2"/>
  <c r="O62" i="2" s="1"/>
  <c r="P62" i="2" s="1"/>
  <c r="R61" i="2"/>
  <c r="T61" i="2"/>
  <c r="N61" i="2"/>
  <c r="O61" i="2" s="1"/>
  <c r="P61" i="2" s="1"/>
  <c r="R21" i="2"/>
  <c r="Q21" i="2"/>
  <c r="T21" i="2" s="1"/>
  <c r="Q26" i="2"/>
  <c r="Q29" i="2"/>
  <c r="T29" i="2" s="1"/>
  <c r="Q22" i="2"/>
  <c r="T22" i="2" s="1"/>
  <c r="Q30" i="2"/>
  <c r="Q32" i="2"/>
  <c r="T32" i="2" s="1"/>
  <c r="Q24" i="2"/>
  <c r="T24" i="2" s="1"/>
  <c r="R34" i="2"/>
  <c r="T27" i="2"/>
  <c r="R29" i="2"/>
  <c r="R30" i="2"/>
  <c r="R25" i="2"/>
  <c r="R33" i="2"/>
  <c r="R35" i="2"/>
  <c r="R28" i="2"/>
  <c r="S27" i="2"/>
  <c r="U27" i="2" s="1"/>
  <c r="R24" i="2"/>
  <c r="R32" i="2"/>
  <c r="R31" i="2"/>
  <c r="R23" i="2"/>
  <c r="T30" i="2"/>
  <c r="O25" i="2"/>
  <c r="O24" i="2"/>
  <c r="O32" i="2"/>
  <c r="O29" i="2"/>
  <c r="O31" i="2"/>
  <c r="O34" i="2"/>
  <c r="O21" i="2"/>
  <c r="O30" i="2"/>
  <c r="O22" i="2"/>
  <c r="O33" i="2"/>
  <c r="O35" i="2"/>
  <c r="O23" i="2"/>
  <c r="O26" i="2"/>
  <c r="T26" i="2"/>
  <c r="S35" i="2" l="1"/>
  <c r="S25" i="2"/>
  <c r="S28" i="2"/>
  <c r="S31" i="2"/>
  <c r="U31" i="2" s="1"/>
  <c r="S34" i="2"/>
  <c r="S21" i="2"/>
  <c r="P65" i="2"/>
  <c r="S65" i="2" s="1"/>
  <c r="U65" i="2" s="1"/>
  <c r="P68" i="2"/>
  <c r="S68" i="2" s="1"/>
  <c r="U68" i="2" s="1"/>
  <c r="P67" i="2"/>
  <c r="S67" i="2" s="1"/>
  <c r="U67" i="2" s="1"/>
  <c r="S61" i="2"/>
  <c r="U61" i="2" s="1"/>
  <c r="S64" i="2"/>
  <c r="U64" i="2" s="1"/>
  <c r="O69" i="2"/>
  <c r="P69" i="2" s="1"/>
  <c r="Q69" i="2"/>
  <c r="O71" i="2"/>
  <c r="P71" i="2" s="1"/>
  <c r="Q71" i="2"/>
  <c r="Q73" i="2"/>
  <c r="O73" i="2"/>
  <c r="P73" i="2" s="1"/>
  <c r="S66" i="2"/>
  <c r="U66" i="2" s="1"/>
  <c r="Q70" i="2"/>
  <c r="O70" i="2"/>
  <c r="P70" i="2" s="1"/>
  <c r="O72" i="2"/>
  <c r="P72" i="2" s="1"/>
  <c r="Q72" i="2"/>
  <c r="Q76" i="2"/>
  <c r="O76" i="2"/>
  <c r="P76" i="2" s="1"/>
  <c r="S23" i="2"/>
  <c r="S33" i="2"/>
  <c r="U33" i="2" s="1"/>
  <c r="S30" i="2"/>
  <c r="U30" i="2" s="1"/>
  <c r="S29" i="2"/>
  <c r="U29" i="2" s="1"/>
  <c r="S24" i="2"/>
  <c r="S62" i="2"/>
  <c r="U62" i="2" s="1"/>
  <c r="Q75" i="2"/>
  <c r="O75" i="2"/>
  <c r="P75" i="2" s="1"/>
  <c r="O77" i="2"/>
  <c r="P77" i="2" s="1"/>
  <c r="Q77" i="2"/>
  <c r="S63" i="2"/>
  <c r="U63" i="2" s="1"/>
  <c r="S60" i="2"/>
  <c r="U60" i="2" s="1"/>
  <c r="O74" i="2"/>
  <c r="P74" i="2" s="1"/>
  <c r="Q74" i="2"/>
  <c r="Q78" i="2"/>
  <c r="O78" i="2"/>
  <c r="P78" i="2" s="1"/>
  <c r="S26" i="2"/>
  <c r="U26" i="2" s="1"/>
  <c r="S22" i="2"/>
  <c r="U22" i="2" s="1"/>
  <c r="S32" i="2"/>
  <c r="U32" i="2" s="1"/>
  <c r="U28" i="2"/>
  <c r="U35" i="2"/>
  <c r="R36" i="2"/>
  <c r="I9" i="2" s="1"/>
  <c r="U34" i="2"/>
  <c r="U24" i="2"/>
  <c r="U25" i="2"/>
  <c r="U23" i="2"/>
  <c r="S78" i="2" l="1"/>
  <c r="U78" i="2" s="1"/>
  <c r="S75" i="2"/>
  <c r="U75" i="2" s="1"/>
  <c r="S76" i="2"/>
  <c r="U76" i="2" s="1"/>
  <c r="S70" i="2"/>
  <c r="U70" i="2" s="1"/>
  <c r="S71" i="2"/>
  <c r="U71" i="2" s="1"/>
  <c r="S69" i="2"/>
  <c r="U69" i="2" s="1"/>
  <c r="S74" i="2"/>
  <c r="U74" i="2" s="1"/>
  <c r="S77" i="2"/>
  <c r="U77" i="2" s="1"/>
  <c r="S72" i="2"/>
  <c r="U72" i="2" s="1"/>
  <c r="S73" i="2"/>
  <c r="U73" i="2" s="1"/>
  <c r="S36" i="2"/>
  <c r="U21" i="2"/>
  <c r="E9" i="2" l="1"/>
  <c r="J9" i="2"/>
  <c r="G9" i="2"/>
  <c r="E21" i="1"/>
  <c r="G21" i="1" s="1"/>
  <c r="U36" i="2"/>
  <c r="D9" i="2" s="1"/>
  <c r="E24" i="1" s="1"/>
  <c r="C25" i="6" l="1"/>
  <c r="E26" i="6" s="1"/>
  <c r="G24" i="1"/>
  <c r="E25" i="6"/>
  <c r="E32" i="1"/>
  <c r="G32" i="1" s="1"/>
  <c r="C22" i="6"/>
  <c r="H9" i="2"/>
  <c r="F9" i="2"/>
  <c r="K9" i="2" s="1"/>
  <c r="E30" i="1" l="1"/>
  <c r="G30" i="1" s="1"/>
  <c r="E34" i="1"/>
  <c r="C33" i="6"/>
  <c r="E33" i="6" s="1"/>
  <c r="C35" i="6" l="1"/>
  <c r="G34" i="1"/>
  <c r="L15" i="2"/>
  <c r="I15" i="2"/>
  <c r="O15" i="2"/>
  <c r="O16" i="2" l="1"/>
  <c r="I16" i="2"/>
  <c r="L16" i="2"/>
  <c r="M79" i="2"/>
  <c r="M81" i="2"/>
  <c r="M83" i="2"/>
  <c r="M85" i="2"/>
  <c r="M87" i="2"/>
  <c r="M89" i="2"/>
  <c r="M80" i="2"/>
  <c r="M82" i="2"/>
  <c r="M84" i="2"/>
  <c r="M86" i="2"/>
  <c r="M88" i="2"/>
  <c r="M90" i="2"/>
  <c r="K80" i="2"/>
  <c r="K82" i="2"/>
  <c r="K84" i="2"/>
  <c r="K86" i="2"/>
  <c r="K88" i="2"/>
  <c r="K90" i="2"/>
  <c r="K79" i="2"/>
  <c r="K81" i="2"/>
  <c r="K83" i="2"/>
  <c r="K85" i="2"/>
  <c r="K87" i="2"/>
  <c r="K89" i="2"/>
  <c r="I79" i="2"/>
  <c r="I81" i="2"/>
  <c r="I83" i="2"/>
  <c r="I85" i="2"/>
  <c r="I87" i="2"/>
  <c r="I89" i="2"/>
  <c r="I80" i="2"/>
  <c r="I82" i="2"/>
  <c r="I84" i="2"/>
  <c r="I86" i="2"/>
  <c r="I88" i="2"/>
  <c r="I90" i="2"/>
  <c r="G80" i="2"/>
  <c r="G82" i="2"/>
  <c r="G84" i="2"/>
  <c r="G86" i="2"/>
  <c r="G88" i="2"/>
  <c r="G79" i="2"/>
  <c r="G81" i="2"/>
  <c r="G83" i="2"/>
  <c r="G85" i="2"/>
  <c r="G87" i="2"/>
  <c r="G89" i="2"/>
  <c r="G90" i="2"/>
  <c r="F89" i="2"/>
  <c r="N89" i="2" s="1"/>
  <c r="F80" i="2"/>
  <c r="N80" i="2" s="1"/>
  <c r="F82" i="2"/>
  <c r="F83" i="2"/>
  <c r="N83" i="2" s="1"/>
  <c r="O83" i="2" s="1"/>
  <c r="P83" i="2" s="1"/>
  <c r="F86" i="2"/>
  <c r="F84" i="2"/>
  <c r="T84" i="2" s="1"/>
  <c r="F88" i="2"/>
  <c r="T88" i="2" s="1"/>
  <c r="F87" i="2"/>
  <c r="F90" i="2"/>
  <c r="F85" i="2"/>
  <c r="T85" i="2" s="1"/>
  <c r="F79" i="2"/>
  <c r="T79" i="2" s="1"/>
  <c r="F81" i="2"/>
  <c r="T81" i="2" s="1"/>
  <c r="T87" i="2" l="1"/>
  <c r="T90" i="2"/>
  <c r="N86" i="2"/>
  <c r="O86" i="2" s="1"/>
  <c r="P86" i="2" s="1"/>
  <c r="N82" i="2"/>
  <c r="Q82" i="2" s="1"/>
  <c r="N79" i="2"/>
  <c r="O79" i="2" s="1"/>
  <c r="P79" i="2" s="1"/>
  <c r="N85" i="2"/>
  <c r="O85" i="2" s="1"/>
  <c r="P85" i="2" s="1"/>
  <c r="N90" i="2"/>
  <c r="O90" i="2" s="1"/>
  <c r="P90" i="2" s="1"/>
  <c r="N87" i="2"/>
  <c r="O87" i="2" s="1"/>
  <c r="P87" i="2" s="1"/>
  <c r="N88" i="2"/>
  <c r="O88" i="2" s="1"/>
  <c r="P88" i="2" s="1"/>
  <c r="N84" i="2"/>
  <c r="O84" i="2" s="1"/>
  <c r="P84" i="2" s="1"/>
  <c r="Q80" i="2"/>
  <c r="O80" i="2"/>
  <c r="P80" i="2" s="1"/>
  <c r="N81" i="2"/>
  <c r="R79" i="2"/>
  <c r="R85" i="2"/>
  <c r="R90" i="2"/>
  <c r="R87" i="2"/>
  <c r="R88" i="2"/>
  <c r="R84" i="2"/>
  <c r="T86" i="2"/>
  <c r="R86" i="2"/>
  <c r="Q83" i="2"/>
  <c r="S83" i="2" s="1"/>
  <c r="T83" i="2"/>
  <c r="R83" i="2"/>
  <c r="O89" i="2"/>
  <c r="P89" i="2" s="1"/>
  <c r="Q89" i="2"/>
  <c r="R81" i="2"/>
  <c r="T82" i="2"/>
  <c r="R82" i="2"/>
  <c r="T80" i="2"/>
  <c r="R80" i="2"/>
  <c r="R89" i="2"/>
  <c r="T89" i="2"/>
  <c r="Q86" i="2" l="1"/>
  <c r="S86" i="2" s="1"/>
  <c r="U86" i="2" s="1"/>
  <c r="O82" i="2"/>
  <c r="P82" i="2" s="1"/>
  <c r="Q87" i="2"/>
  <c r="S87" i="2" s="1"/>
  <c r="U87" i="2" s="1"/>
  <c r="Q84" i="2"/>
  <c r="S84" i="2" s="1"/>
  <c r="U84" i="2" s="1"/>
  <c r="Q85" i="2"/>
  <c r="S85" i="2" s="1"/>
  <c r="U85" i="2" s="1"/>
  <c r="Q88" i="2"/>
  <c r="S88" i="2" s="1"/>
  <c r="Q90" i="2"/>
  <c r="S90" i="2" s="1"/>
  <c r="U90" i="2" s="1"/>
  <c r="Q79" i="2"/>
  <c r="S79" i="2" s="1"/>
  <c r="U79" i="2" s="1"/>
  <c r="T91" i="2"/>
  <c r="S89" i="2"/>
  <c r="U89" i="2" s="1"/>
  <c r="U83" i="2"/>
  <c r="U88" i="2"/>
  <c r="R91" i="2"/>
  <c r="O81" i="2"/>
  <c r="P81" i="2" s="1"/>
  <c r="Q81" i="2"/>
  <c r="S80" i="2"/>
  <c r="U80" i="2" s="1"/>
  <c r="S82" i="2" l="1"/>
  <c r="U82" i="2" s="1"/>
  <c r="S81" i="2"/>
  <c r="I47" i="2"/>
  <c r="U81" i="2" l="1"/>
  <c r="S91" i="2"/>
  <c r="J47" i="2" s="1"/>
  <c r="E22" i="1" l="1"/>
  <c r="G22" i="1" s="1"/>
  <c r="E47" i="2"/>
  <c r="D47" i="2"/>
  <c r="E25" i="1" s="1"/>
  <c r="U91" i="2"/>
  <c r="C26" i="6" l="1"/>
  <c r="G25" i="1"/>
  <c r="F47" i="2"/>
  <c r="K47" i="2" s="1"/>
  <c r="G47" i="2"/>
  <c r="H47" i="2" s="1"/>
  <c r="C23" i="6"/>
  <c r="E33" i="1"/>
  <c r="E35" i="1" l="1"/>
  <c r="G35" i="1" s="1"/>
  <c r="G33" i="1"/>
  <c r="C34" i="6"/>
  <c r="E34" i="6" s="1"/>
  <c r="C36" i="6"/>
  <c r="E31" i="1"/>
  <c r="G31" i="1" s="1"/>
  <c r="C31" i="6" l="1"/>
  <c r="E26" i="1"/>
  <c r="G26" i="1" s="1"/>
  <c r="C32" i="6"/>
  <c r="E27" i="1"/>
  <c r="G27" i="1" s="1"/>
  <c r="C28" i="6" l="1"/>
  <c r="E29" i="1"/>
  <c r="C27" i="6"/>
  <c r="E28" i="1"/>
  <c r="C29" i="6" l="1"/>
  <c r="E29" i="6" s="1"/>
  <c r="G28" i="1"/>
  <c r="C30" i="6"/>
  <c r="E30" i="6" s="1"/>
  <c r="G29" i="1"/>
</calcChain>
</file>

<file path=xl/sharedStrings.xml><?xml version="1.0" encoding="utf-8"?>
<sst xmlns="http://schemas.openxmlformats.org/spreadsheetml/2006/main" count="634" uniqueCount="312">
  <si>
    <t>시험항목</t>
    <phoneticPr fontId="2" type="noConversion"/>
  </si>
  <si>
    <t>단위</t>
    <phoneticPr fontId="2" type="noConversion"/>
  </si>
  <si>
    <t>1. 일반사항</t>
    <phoneticPr fontId="2" type="noConversion"/>
  </si>
  <si>
    <t>정격전원</t>
    <phoneticPr fontId="2" type="noConversion"/>
  </si>
  <si>
    <t>압축기 형태</t>
    <phoneticPr fontId="2" type="noConversion"/>
  </si>
  <si>
    <t>4. 제품사진</t>
    <phoneticPr fontId="2" type="noConversion"/>
  </si>
  <si>
    <t>W</t>
  </si>
  <si>
    <t>27/19</t>
  </si>
  <si>
    <t>35/24</t>
  </si>
  <si>
    <t>29/19</t>
  </si>
  <si>
    <t>℃</t>
  </si>
  <si>
    <t>계</t>
  </si>
  <si>
    <t>* 노란셀 입력</t>
    <phoneticPr fontId="2" type="noConversion"/>
  </si>
  <si>
    <t>안전인증번호</t>
    <phoneticPr fontId="2" type="noConversion"/>
  </si>
  <si>
    <t>냉방표준</t>
    <phoneticPr fontId="2" type="noConversion"/>
  </si>
  <si>
    <t>정격</t>
    <phoneticPr fontId="2" type="noConversion"/>
  </si>
  <si>
    <t>능력</t>
    <phoneticPr fontId="2" type="noConversion"/>
  </si>
  <si>
    <t>소비전력</t>
  </si>
  <si>
    <t>소비전력</t>
    <phoneticPr fontId="2" type="noConversion"/>
  </si>
  <si>
    <t>중간</t>
    <phoneticPr fontId="2" type="noConversion"/>
  </si>
  <si>
    <t>소비전력</t>
    <phoneticPr fontId="2" type="noConversion"/>
  </si>
  <si>
    <t>냉방저온</t>
    <phoneticPr fontId="2" type="noConversion"/>
  </si>
  <si>
    <t>최소</t>
    <phoneticPr fontId="2" type="noConversion"/>
  </si>
  <si>
    <t>항목</t>
    <phoneticPr fontId="2" type="noConversion"/>
  </si>
  <si>
    <t>시험결과 [W]</t>
    <phoneticPr fontId="2" type="noConversion"/>
  </si>
  <si>
    <t>2. 시스템 사양</t>
    <phoneticPr fontId="2" type="noConversion"/>
  </si>
  <si>
    <t>냉매봉입량</t>
    <phoneticPr fontId="2" type="noConversion"/>
  </si>
  <si>
    <t>kg</t>
    <phoneticPr fontId="2" type="noConversion"/>
  </si>
  <si>
    <t xml:space="preserve">적용고시 </t>
    <phoneticPr fontId="2" type="noConversion"/>
  </si>
  <si>
    <t>적용기준</t>
    <phoneticPr fontId="2" type="noConversion"/>
  </si>
  <si>
    <t>가변용량</t>
  </si>
  <si>
    <t>단상 220V 60Hz</t>
  </si>
  <si>
    <t>분리형</t>
  </si>
  <si>
    <t>용량구분</t>
    <phoneticPr fontId="2" type="noConversion"/>
  </si>
  <si>
    <t>모델명</t>
    <phoneticPr fontId="2" type="noConversion"/>
  </si>
  <si>
    <t>정격냉방능력</t>
    <phoneticPr fontId="2" type="noConversion"/>
  </si>
  <si>
    <t>시험조건</t>
    <phoneticPr fontId="2" type="noConversion"/>
  </si>
  <si>
    <t>시험조건</t>
    <phoneticPr fontId="2" type="noConversion"/>
  </si>
  <si>
    <t>중간운전</t>
    <phoneticPr fontId="2" type="noConversion"/>
  </si>
  <si>
    <t>최소운전</t>
    <phoneticPr fontId="2" type="noConversion"/>
  </si>
  <si>
    <t>정격운전</t>
    <phoneticPr fontId="2" type="noConversion"/>
  </si>
  <si>
    <t>표준조건</t>
    <phoneticPr fontId="2" type="noConversion"/>
  </si>
  <si>
    <t>저온조건</t>
    <phoneticPr fontId="2" type="noConversion"/>
  </si>
  <si>
    <t>실내측</t>
    <phoneticPr fontId="2" type="noConversion"/>
  </si>
  <si>
    <t>실외측</t>
    <phoneticPr fontId="2" type="noConversion"/>
  </si>
  <si>
    <t>건구/습구</t>
    <phoneticPr fontId="2" type="noConversion"/>
  </si>
  <si>
    <t>소비전력</t>
    <phoneticPr fontId="2" type="noConversion"/>
  </si>
  <si>
    <t>능력</t>
    <phoneticPr fontId="2" type="noConversion"/>
  </si>
  <si>
    <t>능력(ta)</t>
    <phoneticPr fontId="2" type="noConversion"/>
  </si>
  <si>
    <t>능력(tb)</t>
    <phoneticPr fontId="2" type="noConversion"/>
  </si>
  <si>
    <t>능력(tc)</t>
    <phoneticPr fontId="2" type="noConversion"/>
  </si>
  <si>
    <t>전력(ta)</t>
    <phoneticPr fontId="2" type="noConversion"/>
  </si>
  <si>
    <t>전력(tb)</t>
    <phoneticPr fontId="2" type="noConversion"/>
  </si>
  <si>
    <t>전력(tc)</t>
    <phoneticPr fontId="2" type="noConversion"/>
  </si>
  <si>
    <t>온도(ta)</t>
    <phoneticPr fontId="2" type="noConversion"/>
  </si>
  <si>
    <t>온도(tb)</t>
    <phoneticPr fontId="2" type="noConversion"/>
  </si>
  <si>
    <t>온도(tc)</t>
    <phoneticPr fontId="2" type="noConversion"/>
  </si>
  <si>
    <t>결과보간</t>
    <phoneticPr fontId="2" type="noConversion"/>
  </si>
  <si>
    <t>온도저하계수</t>
    <phoneticPr fontId="2" type="noConversion"/>
  </si>
  <si>
    <t xml:space="preserve">최소운전 </t>
    <phoneticPr fontId="2" type="noConversion"/>
  </si>
  <si>
    <t>중간운전</t>
    <phoneticPr fontId="2" type="noConversion"/>
  </si>
  <si>
    <t xml:space="preserve">정격운전 </t>
  </si>
  <si>
    <t>운전</t>
    <phoneticPr fontId="2" type="noConversion"/>
  </si>
  <si>
    <t>온도구분</t>
  </si>
  <si>
    <t xml:space="preserve">온도 </t>
  </si>
  <si>
    <t>시간</t>
  </si>
  <si>
    <t>건물부하</t>
  </si>
  <si>
    <t>냉방능력</t>
  </si>
  <si>
    <t>냉방능력</t>
    <phoneticPr fontId="2" type="noConversion"/>
  </si>
  <si>
    <t>조건</t>
    <phoneticPr fontId="2" type="noConversion"/>
  </si>
  <si>
    <t>가동율</t>
  </si>
  <si>
    <t>J</t>
  </si>
  <si>
    <t>X</t>
  </si>
  <si>
    <t>CSPF</t>
    <phoneticPr fontId="2" type="noConversion"/>
  </si>
  <si>
    <t>냉방량</t>
    <phoneticPr fontId="2" type="noConversion"/>
  </si>
  <si>
    <t xml:space="preserve">냉방기간 </t>
    <phoneticPr fontId="2" type="noConversion"/>
  </si>
  <si>
    <t>냉방소비전력량</t>
    <phoneticPr fontId="2" type="noConversion"/>
  </si>
  <si>
    <t xml:space="preserve">냉방기간 </t>
    <phoneticPr fontId="2" type="noConversion"/>
  </si>
  <si>
    <t>EER</t>
    <phoneticPr fontId="2" type="noConversion"/>
  </si>
  <si>
    <t>EER</t>
    <phoneticPr fontId="2" type="noConversion"/>
  </si>
  <si>
    <t>소비전력</t>
    <phoneticPr fontId="2" type="noConversion"/>
  </si>
  <si>
    <t>최소운전</t>
    <phoneticPr fontId="2" type="noConversion"/>
  </si>
  <si>
    <t>냉방능력</t>
    <phoneticPr fontId="2" type="noConversion"/>
  </si>
  <si>
    <t>결과</t>
    <phoneticPr fontId="2" type="noConversion"/>
  </si>
  <si>
    <t>CSPF</t>
    <phoneticPr fontId="2" type="noConversion"/>
  </si>
  <si>
    <t>냉방기간
소비전력량
(kWh)</t>
    <phoneticPr fontId="2" type="noConversion"/>
  </si>
  <si>
    <t>냉방기간
월간소비전력량 (kWh/월)</t>
    <phoneticPr fontId="2" type="noConversion"/>
  </si>
  <si>
    <t>1시간당
소비전력량
(W/h)</t>
    <phoneticPr fontId="2" type="noConversion"/>
  </si>
  <si>
    <t>CO2 배출량
(g/h)</t>
    <phoneticPr fontId="2" type="noConversion"/>
  </si>
  <si>
    <t>냉방기간 총 
냉방량 합계
(kWh)</t>
    <phoneticPr fontId="2" type="noConversion"/>
  </si>
  <si>
    <t>냉방기간 총 
냉방소비전력량합계 (kWh)</t>
    <phoneticPr fontId="2" type="noConversion"/>
  </si>
  <si>
    <t>Wh</t>
    <phoneticPr fontId="2" type="noConversion"/>
  </si>
  <si>
    <t>시험결과</t>
    <phoneticPr fontId="2" type="noConversion"/>
  </si>
  <si>
    <t>온도빈</t>
    <phoneticPr fontId="2" type="noConversion"/>
  </si>
  <si>
    <t>정격사양</t>
    <phoneticPr fontId="2" type="noConversion"/>
  </si>
  <si>
    <t xml:space="preserve">가변용량형 (3점식) CSPF </t>
    <phoneticPr fontId="2" type="noConversion"/>
  </si>
  <si>
    <t>시스템 세팅 결과</t>
    <phoneticPr fontId="2" type="noConversion"/>
  </si>
  <si>
    <t>3. 시스템 운전 결과</t>
    <phoneticPr fontId="2" type="noConversion"/>
  </si>
  <si>
    <t>EEV full open 
[pulse]</t>
    <phoneticPr fontId="2" type="noConversion"/>
  </si>
  <si>
    <t>EEV 개도 
[pulse]</t>
    <phoneticPr fontId="2" type="noConversion"/>
  </si>
  <si>
    <t>실외팬 
[RPM]</t>
    <phoneticPr fontId="2" type="noConversion"/>
  </si>
  <si>
    <t>실내팬 
[RPM]</t>
    <phoneticPr fontId="2" type="noConversion"/>
  </si>
  <si>
    <t>압축기 주파수 
[Hz]</t>
    <phoneticPr fontId="2" type="noConversion"/>
  </si>
  <si>
    <t>EER</t>
    <phoneticPr fontId="2" type="noConversion"/>
  </si>
  <si>
    <t>건구/습구</t>
    <phoneticPr fontId="2" type="noConversion"/>
  </si>
  <si>
    <t>(1,2,3,4)</t>
    <phoneticPr fontId="2" type="noConversion"/>
  </si>
  <si>
    <t>운전비율</t>
    <phoneticPr fontId="2" type="noConversion"/>
  </si>
  <si>
    <t>PLF</t>
    <phoneticPr fontId="2" type="noConversion"/>
  </si>
  <si>
    <t>h</t>
    <phoneticPr fontId="2" type="noConversion"/>
  </si>
  <si>
    <t>판매사 / 제조사</t>
    <phoneticPr fontId="2" type="noConversion"/>
  </si>
  <si>
    <t>2) 실외기 전,후 사진 (설치사진 포함)</t>
    <phoneticPr fontId="2" type="noConversion"/>
  </si>
  <si>
    <t>전면, 후면, 설치사진</t>
    <phoneticPr fontId="2" type="noConversion"/>
  </si>
  <si>
    <t>COP</t>
    <phoneticPr fontId="2" type="noConversion"/>
  </si>
  <si>
    <t>HSPF</t>
    <phoneticPr fontId="2" type="noConversion"/>
  </si>
  <si>
    <t>1) 실내기 전,후 사진 (설치사진 포함)</t>
    <phoneticPr fontId="2" type="noConversion"/>
  </si>
  <si>
    <t>정격냉방능력</t>
    <phoneticPr fontId="2" type="noConversion"/>
  </si>
  <si>
    <t>W</t>
    <phoneticPr fontId="2" type="noConversion"/>
  </si>
  <si>
    <t>냉방표준능력</t>
    <phoneticPr fontId="2" type="noConversion"/>
  </si>
  <si>
    <t>정격난방능력</t>
    <phoneticPr fontId="2" type="noConversion"/>
  </si>
  <si>
    <t>난방표준능력</t>
    <phoneticPr fontId="2" type="noConversion"/>
  </si>
  <si>
    <t>냉방표준소비전력</t>
    <phoneticPr fontId="2" type="noConversion"/>
  </si>
  <si>
    <t>난방표준소비전력</t>
    <phoneticPr fontId="2" type="noConversion"/>
  </si>
  <si>
    <t>냉방기간총소비전력량</t>
    <phoneticPr fontId="2" type="noConversion"/>
  </si>
  <si>
    <t>kW·h</t>
    <phoneticPr fontId="2" type="noConversion"/>
  </si>
  <si>
    <t>난방기간총소비전력량</t>
    <phoneticPr fontId="2" type="noConversion"/>
  </si>
  <si>
    <t>보조히터용량</t>
    <phoneticPr fontId="2" type="noConversion"/>
  </si>
  <si>
    <t>냉방기간에너지소비효율</t>
    <phoneticPr fontId="2" type="noConversion"/>
  </si>
  <si>
    <t>W/W(CSPF)</t>
    <phoneticPr fontId="2" type="noConversion"/>
  </si>
  <si>
    <t>난방기간에너지소비효율</t>
    <phoneticPr fontId="2" type="noConversion"/>
  </si>
  <si>
    <t>W/W(HSPF)</t>
    <phoneticPr fontId="2" type="noConversion"/>
  </si>
  <si>
    <t>W·h</t>
    <phoneticPr fontId="2" type="noConversion"/>
  </si>
  <si>
    <t>g/h</t>
    <phoneticPr fontId="2" type="noConversion"/>
  </si>
  <si>
    <t>kW·h/년</t>
    <phoneticPr fontId="2" type="noConversion"/>
  </si>
  <si>
    <t>냉방기간월간소비전력량</t>
    <phoneticPr fontId="2" type="noConversion"/>
  </si>
  <si>
    <t>난방기간월간소비전력량</t>
    <phoneticPr fontId="2" type="noConversion"/>
  </si>
  <si>
    <t>원</t>
    <phoneticPr fontId="2" type="noConversion"/>
  </si>
  <si>
    <t xml:space="preserve">소비효율등급 </t>
    <phoneticPr fontId="2" type="noConversion"/>
  </si>
  <si>
    <t>W</t>
    <phoneticPr fontId="2" type="noConversion"/>
  </si>
  <si>
    <t>kW·h</t>
    <phoneticPr fontId="2" type="noConversion"/>
  </si>
  <si>
    <t>W/W(CSPF)</t>
    <phoneticPr fontId="2" type="noConversion"/>
  </si>
  <si>
    <t>W/W(HSPF)</t>
    <phoneticPr fontId="2" type="noConversion"/>
  </si>
  <si>
    <t>W·h</t>
    <phoneticPr fontId="2" type="noConversion"/>
  </si>
  <si>
    <t>g/h</t>
    <phoneticPr fontId="2" type="noConversion"/>
  </si>
  <si>
    <t>kW·h/년</t>
    <phoneticPr fontId="2" type="noConversion"/>
  </si>
  <si>
    <t>원</t>
    <phoneticPr fontId="2" type="noConversion"/>
  </si>
  <si>
    <t>-</t>
    <phoneticPr fontId="2" type="noConversion"/>
  </si>
  <si>
    <t>전기냉난방기 효율등급 계산시트(1/3)</t>
    <phoneticPr fontId="2" type="noConversion"/>
  </si>
  <si>
    <t>냉방운전</t>
    <phoneticPr fontId="2" type="noConversion"/>
  </si>
  <si>
    <t>난방운전</t>
    <phoneticPr fontId="2" type="noConversion"/>
  </si>
  <si>
    <t>난방표준</t>
    <phoneticPr fontId="2" type="noConversion"/>
  </si>
  <si>
    <t>난방저온</t>
    <phoneticPr fontId="2" type="noConversion"/>
  </si>
  <si>
    <t>최대</t>
    <phoneticPr fontId="2" type="noConversion"/>
  </si>
  <si>
    <t>난방제상</t>
    <phoneticPr fontId="2" type="noConversion"/>
  </si>
  <si>
    <t>전기냉난방기 효율등급 계산시트(2/3)</t>
    <phoneticPr fontId="2" type="noConversion"/>
  </si>
  <si>
    <t>모델명</t>
    <phoneticPr fontId="2" type="noConversion"/>
  </si>
  <si>
    <t>실외기</t>
    <phoneticPr fontId="2" type="noConversion"/>
  </si>
  <si>
    <t>실내기</t>
    <phoneticPr fontId="2" type="noConversion"/>
  </si>
  <si>
    <t>유닛구성</t>
    <phoneticPr fontId="2" type="noConversion"/>
  </si>
  <si>
    <t xml:space="preserve">가변용량형 (5점식) HSPF </t>
    <phoneticPr fontId="2" type="noConversion"/>
  </si>
  <si>
    <t>최대운전</t>
    <phoneticPr fontId="2" type="noConversion"/>
  </si>
  <si>
    <t>보조히터</t>
    <phoneticPr fontId="2" type="noConversion"/>
  </si>
  <si>
    <t>운전율</t>
    <phoneticPr fontId="2" type="noConversion"/>
  </si>
  <si>
    <t>온도저하계수</t>
    <phoneticPr fontId="2" type="noConversion"/>
  </si>
  <si>
    <t>냉방능력</t>
    <phoneticPr fontId="2" type="noConversion"/>
  </si>
  <si>
    <t>난방건물부하 (0℃)</t>
    <phoneticPr fontId="2" type="noConversion"/>
  </si>
  <si>
    <t>난방기간
소비전력량
(kWh)</t>
    <phoneticPr fontId="2" type="noConversion"/>
  </si>
  <si>
    <t>냉방월간에너지비용
[\]</t>
    <phoneticPr fontId="2" type="noConversion"/>
  </si>
  <si>
    <t>전기냉난방기 효율등급 계산시트(3/3)</t>
    <phoneticPr fontId="2" type="noConversion"/>
  </si>
  <si>
    <t>-</t>
    <phoneticPr fontId="2" type="noConversion"/>
  </si>
  <si>
    <t>-</t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</si>
  <si>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</si>
  <si>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</si>
  <si>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</si>
  <si>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</si>
  <si>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</si>
  <si>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</si>
  <si>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</si>
  <si>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결과보간</t>
    <phoneticPr fontId="2" type="noConversion"/>
  </si>
  <si>
    <t>온도</t>
    <phoneticPr fontId="2" type="noConversion"/>
  </si>
  <si>
    <t>능력</t>
    <phoneticPr fontId="2" type="noConversion"/>
  </si>
  <si>
    <t>소비전력</t>
    <phoneticPr fontId="2" type="noConversion"/>
  </si>
  <si>
    <t>20/15</t>
    <phoneticPr fontId="2" type="noConversion"/>
  </si>
  <si>
    <t>7/6</t>
    <phoneticPr fontId="2" type="noConversion"/>
  </si>
  <si>
    <t>2/1</t>
    <phoneticPr fontId="2" type="noConversion"/>
  </si>
  <si>
    <t>20/15</t>
    <phoneticPr fontId="2" type="noConversion"/>
  </si>
  <si>
    <t>-7/-8</t>
    <phoneticPr fontId="2" type="noConversion"/>
  </si>
  <si>
    <t>착상</t>
    <phoneticPr fontId="2" type="noConversion"/>
  </si>
  <si>
    <t>무착상</t>
    <phoneticPr fontId="2" type="noConversion"/>
  </si>
  <si>
    <t>제상조건</t>
    <phoneticPr fontId="2" type="noConversion"/>
  </si>
  <si>
    <t>-</t>
    <phoneticPr fontId="2" type="noConversion"/>
  </si>
  <si>
    <t>난방능력</t>
    <phoneticPr fontId="2" type="noConversion"/>
  </si>
  <si>
    <t>건물난방부하</t>
    <phoneticPr fontId="2" type="noConversion"/>
  </si>
  <si>
    <t>전열장치</t>
    <phoneticPr fontId="2" type="noConversion"/>
  </si>
  <si>
    <t>소비전력량</t>
    <phoneticPr fontId="2" type="noConversion"/>
  </si>
  <si>
    <t>난방월간
에너지비용
[\]</t>
    <phoneticPr fontId="2" type="noConversion"/>
  </si>
  <si>
    <t>난방기간 
총난방소비
전력량합계 (kWh)</t>
    <phoneticPr fontId="2" type="noConversion"/>
  </si>
  <si>
    <t>난방기간
월간소비
전력량 (kWh/월)</t>
    <phoneticPr fontId="2" type="noConversion"/>
  </si>
  <si>
    <t>최대운전</t>
    <phoneticPr fontId="2" type="noConversion"/>
  </si>
  <si>
    <t>난방능력</t>
    <phoneticPr fontId="2" type="noConversion"/>
  </si>
  <si>
    <t>1. 일반사항</t>
    <phoneticPr fontId="2" type="noConversion"/>
  </si>
  <si>
    <t>2. 시험결과</t>
    <phoneticPr fontId="2" type="noConversion"/>
  </si>
  <si>
    <t>시험항목</t>
    <phoneticPr fontId="2" type="noConversion"/>
  </si>
  <si>
    <t>단위</t>
    <phoneticPr fontId="2" type="noConversion"/>
  </si>
  <si>
    <t>시험결과</t>
    <phoneticPr fontId="2" type="noConversion"/>
  </si>
  <si>
    <t>허용오차범위</t>
    <phoneticPr fontId="2" type="noConversion"/>
  </si>
  <si>
    <t>소수점</t>
    <phoneticPr fontId="2" type="noConversion"/>
  </si>
  <si>
    <t>표시값</t>
    <phoneticPr fontId="2" type="noConversion"/>
  </si>
  <si>
    <t>정수</t>
    <phoneticPr fontId="2" type="noConversion"/>
  </si>
  <si>
    <t>W</t>
    <phoneticPr fontId="2" type="noConversion"/>
  </si>
  <si>
    <t>표시값의 95%이상</t>
    <phoneticPr fontId="2" type="noConversion"/>
  </si>
  <si>
    <t>정수</t>
    <phoneticPr fontId="2" type="noConversion"/>
  </si>
  <si>
    <t>정격난방능력</t>
    <phoneticPr fontId="2" type="noConversion"/>
  </si>
  <si>
    <t>첫째</t>
    <phoneticPr fontId="2" type="noConversion"/>
  </si>
  <si>
    <t>셋째</t>
    <phoneticPr fontId="2" type="noConversion"/>
  </si>
  <si>
    <t>표시값의 110%이하</t>
    <phoneticPr fontId="2" type="noConversion"/>
  </si>
  <si>
    <t>정수</t>
    <phoneticPr fontId="2" type="noConversion"/>
  </si>
  <si>
    <t xml:space="preserve">소비효율등급 </t>
    <phoneticPr fontId="2" type="noConversion"/>
  </si>
  <si>
    <t>-</t>
    <phoneticPr fontId="2" type="noConversion"/>
  </si>
  <si>
    <t>셋째</t>
    <phoneticPr fontId="2" type="noConversion"/>
  </si>
  <si>
    <t>1) 정격냉방능력 4 kW 미만 분리형</t>
    <phoneticPr fontId="2" type="noConversion"/>
  </si>
  <si>
    <t>R기준</t>
    <phoneticPr fontId="2" type="noConversion"/>
  </si>
  <si>
    <t>대기전력</t>
    <phoneticPr fontId="2" type="noConversion"/>
  </si>
  <si>
    <t>합부판정</t>
    <phoneticPr fontId="2" type="noConversion"/>
  </si>
  <si>
    <t>네트워크 기능</t>
    <phoneticPr fontId="2" type="noConversion"/>
  </si>
  <si>
    <t>대기모드</t>
    <phoneticPr fontId="2" type="noConversion"/>
  </si>
  <si>
    <t>일반제품</t>
  </si>
  <si>
    <t>네트워크기능</t>
    <phoneticPr fontId="2" type="noConversion"/>
  </si>
  <si>
    <t>대기모드</t>
    <phoneticPr fontId="2" type="noConversion"/>
  </si>
  <si>
    <t>대기전력</t>
    <phoneticPr fontId="2" type="noConversion"/>
  </si>
  <si>
    <t>W</t>
    <phoneticPr fontId="2" type="noConversion"/>
  </si>
  <si>
    <t>3) 대기전력 측정 사진</t>
    <phoneticPr fontId="2" type="noConversion"/>
  </si>
  <si>
    <t>대기전력[W]</t>
    <phoneticPr fontId="2" type="noConversion"/>
  </si>
  <si>
    <t>설치사진, 측정사진</t>
    <phoneticPr fontId="2" type="noConversion"/>
  </si>
  <si>
    <t>W</t>
    <phoneticPr fontId="2" type="noConversion"/>
  </si>
  <si>
    <t>첫째</t>
    <phoneticPr fontId="2" type="noConversion"/>
  </si>
  <si>
    <t>냉방기간1시간소비전력량</t>
    <phoneticPr fontId="2" type="noConversion"/>
  </si>
  <si>
    <t>난방기간1시간소비전력량</t>
    <phoneticPr fontId="2" type="noConversion"/>
  </si>
  <si>
    <t>냉방기간1시간사용시CO2배출량</t>
    <phoneticPr fontId="2" type="noConversion"/>
  </si>
  <si>
    <t>난방기간1시간사용시CO2배출량</t>
    <phoneticPr fontId="2" type="noConversion"/>
  </si>
  <si>
    <t>냉방기간연간소비전력량</t>
    <phoneticPr fontId="2" type="noConversion"/>
  </si>
  <si>
    <t>난방기간연간소비전력량</t>
    <phoneticPr fontId="2" type="noConversion"/>
  </si>
  <si>
    <t>냉방기간월간에너지비용</t>
    <phoneticPr fontId="2" type="noConversion"/>
  </si>
  <si>
    <t>W·h</t>
  </si>
  <si>
    <t>난방기간1시간사용시CO2배출량</t>
    <phoneticPr fontId="2" type="noConversion"/>
  </si>
  <si>
    <t>냉방기간연간소비전력량</t>
    <phoneticPr fontId="2" type="noConversion"/>
  </si>
  <si>
    <t>난방기간월간에너지비용</t>
    <phoneticPr fontId="2" type="noConversion"/>
  </si>
  <si>
    <t>냉방기간월간에너지비용</t>
    <phoneticPr fontId="2" type="noConversion"/>
  </si>
  <si>
    <t>건물난방부하합계 (kWh)</t>
    <phoneticPr fontId="2" type="noConversion"/>
  </si>
  <si>
    <t>4~10 kW</t>
  </si>
  <si>
    <t>HSPF</t>
    <phoneticPr fontId="2" type="noConversion"/>
  </si>
  <si>
    <t>난방능력</t>
    <phoneticPr fontId="2" type="noConversion"/>
  </si>
  <si>
    <t>난방능력</t>
    <phoneticPr fontId="2" type="noConversion"/>
  </si>
  <si>
    <t>난방소비전력</t>
    <phoneticPr fontId="2" type="noConversion"/>
  </si>
  <si>
    <t>난방</t>
    <phoneticPr fontId="2" type="noConversion"/>
  </si>
  <si>
    <t>소비전력량</t>
    <phoneticPr fontId="2" type="noConversion"/>
  </si>
  <si>
    <t xml:space="preserve">3. 효율등급 </t>
    <phoneticPr fontId="2" type="noConversion"/>
  </si>
  <si>
    <t>2) 정격냉방능력 4 kW 이상, 10 kW 미만 분리형</t>
  </si>
  <si>
    <t>3) 정격냉방능력 10 kW 이상, 23 kW 미만 분리형</t>
  </si>
  <si>
    <t>CSPF</t>
    <phoneticPr fontId="2" type="noConversion"/>
  </si>
  <si>
    <t>HSPF</t>
    <phoneticPr fontId="2" type="noConversion"/>
  </si>
  <si>
    <t>등급</t>
    <phoneticPr fontId="2" type="noConversion"/>
  </si>
  <si>
    <t>≤ 1.0W</t>
    <phoneticPr fontId="2" type="noConversion"/>
  </si>
  <si>
    <t>6.50 ≤ R</t>
    <phoneticPr fontId="2" type="noConversion"/>
  </si>
  <si>
    <t>4.20 ≤ R</t>
    <phoneticPr fontId="2" type="noConversion"/>
  </si>
  <si>
    <t>6.19 ≤ R &lt; 6.50</t>
    <phoneticPr fontId="2" type="noConversion"/>
  </si>
  <si>
    <t>5.60 ≤ R &lt; 6.19</t>
    <phoneticPr fontId="2" type="noConversion"/>
  </si>
  <si>
    <t>5.38 ≤ R &lt; 5.60</t>
    <phoneticPr fontId="2" type="noConversion"/>
  </si>
  <si>
    <t>5.25 ≤ R &lt; 5.38</t>
    <phoneticPr fontId="2" type="noConversion"/>
  </si>
  <si>
    <t>3.83 ≤ R &lt; 4.20</t>
    <phoneticPr fontId="2" type="noConversion"/>
  </si>
  <si>
    <t>3.30 ≤ R &lt; 3.83</t>
    <phoneticPr fontId="2" type="noConversion"/>
  </si>
  <si>
    <t>3.00 ≤ R &lt; 3.30</t>
    <phoneticPr fontId="2" type="noConversion"/>
  </si>
  <si>
    <t>2.73 ≤ R &lt; 3.00</t>
    <phoneticPr fontId="2" type="noConversion"/>
  </si>
  <si>
    <t>≤ 2.0W</t>
    <phoneticPr fontId="2" type="noConversion"/>
  </si>
  <si>
    <t>수동대기</t>
    <phoneticPr fontId="2" type="noConversion"/>
  </si>
  <si>
    <t>능동대기</t>
    <phoneticPr fontId="2" type="noConversion"/>
  </si>
  <si>
    <t>≤ 3.0W</t>
    <phoneticPr fontId="2" type="noConversion"/>
  </si>
  <si>
    <t>≤ 4.0W</t>
    <phoneticPr fontId="2" type="noConversion"/>
  </si>
  <si>
    <t>≤ 5.0W</t>
    <phoneticPr fontId="2" type="noConversion"/>
  </si>
  <si>
    <t>6.07 ≤ R &lt; 6.50</t>
    <phoneticPr fontId="2" type="noConversion"/>
  </si>
  <si>
    <t>5.30 ≤ R &lt; 6.07</t>
    <phoneticPr fontId="2" type="noConversion"/>
  </si>
  <si>
    <t>5.00 ≤ R &lt; 5.30</t>
    <phoneticPr fontId="2" type="noConversion"/>
  </si>
  <si>
    <t>4.80 ≤ R &lt; 5.00</t>
    <phoneticPr fontId="2" type="noConversion"/>
  </si>
  <si>
    <t>4.00 ≤ R</t>
    <phoneticPr fontId="2" type="noConversion"/>
  </si>
  <si>
    <t>3.60 ≤ R &lt; 4.00</t>
    <phoneticPr fontId="2" type="noConversion"/>
  </si>
  <si>
    <t>2.85 ≤ R &lt; 3.60</t>
    <phoneticPr fontId="2" type="noConversion"/>
  </si>
  <si>
    <t>2.51 ≤ R &lt; 2.85</t>
    <phoneticPr fontId="2" type="noConversion"/>
  </si>
  <si>
    <t>2.38 ≤ R &lt; 2.51</t>
    <phoneticPr fontId="2" type="noConversion"/>
  </si>
  <si>
    <t>4.80 ≤ R &lt; 5.30</t>
    <phoneticPr fontId="2" type="noConversion"/>
  </si>
  <si>
    <t>4.60 ≤ R &lt; 4.80</t>
    <phoneticPr fontId="2" type="noConversion"/>
  </si>
  <si>
    <t>3.00 ≤ R &lt; 3.60</t>
    <phoneticPr fontId="2" type="noConversion"/>
  </si>
  <si>
    <t>2.80 ≤ R &lt; 3.00</t>
    <phoneticPr fontId="2" type="noConversion"/>
  </si>
  <si>
    <t>2.36 ≤ R &lt; 2.80</t>
    <phoneticPr fontId="2" type="noConversion"/>
  </si>
  <si>
    <t>표시값의 92%이상</t>
    <phoneticPr fontId="2" type="noConversion"/>
  </si>
  <si>
    <t>KS C 9306 : 에어컨디셔너</t>
    <phoneticPr fontId="2" type="noConversion"/>
  </si>
  <si>
    <t>"직접입력"</t>
    <phoneticPr fontId="2" type="noConversion"/>
  </si>
  <si>
    <t>"직접입력"</t>
    <phoneticPr fontId="2" type="noConversion"/>
  </si>
  <si>
    <t>"직접입력"</t>
    <phoneticPr fontId="2" type="noConversion"/>
  </si>
  <si>
    <t>"직접입력"</t>
    <phoneticPr fontId="2" type="noConversion"/>
  </si>
  <si>
    <t>"직접입력"</t>
    <phoneticPr fontId="2" type="noConversion"/>
  </si>
  <si>
    <t>"결과입력"</t>
    <phoneticPr fontId="2" type="noConversion"/>
  </si>
  <si>
    <t>"직접입력"</t>
    <phoneticPr fontId="2" type="noConversion"/>
  </si>
  <si>
    <t>"직접입력"</t>
    <phoneticPr fontId="2" type="noConversion"/>
  </si>
  <si>
    <t>"결과입력"</t>
    <phoneticPr fontId="2" type="noConversion"/>
  </si>
  <si>
    <t>"결과입력"</t>
    <phoneticPr fontId="2" type="noConversion"/>
  </si>
  <si>
    <t>"직접입력"</t>
    <phoneticPr fontId="2" type="noConversion"/>
  </si>
  <si>
    <t>"직접입력"</t>
    <phoneticPr fontId="2" type="noConversion"/>
  </si>
  <si>
    <t>"직접입력"</t>
    <phoneticPr fontId="2" type="noConversion"/>
  </si>
  <si>
    <t>"직접입력"</t>
    <phoneticPr fontId="2" type="noConversion"/>
  </si>
  <si>
    <t>"직접입력"</t>
    <phoneticPr fontId="2" type="noConversion"/>
  </si>
  <si>
    <t>효율관리기자재 운용규정(산업통상자원부 고시)</t>
    <phoneticPr fontId="2" type="noConversion"/>
  </si>
  <si>
    <t>Ver.4.1
2018.06.29</t>
    <phoneticPr fontId="2" type="noConversion"/>
  </si>
  <si>
    <t>난방기간월간에너지비용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</si>
</sst>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-;\-* #,##0_-;_-* &quot;-&quot;_-;_-@_-"/>
    <numFmt numFmtId="176" formatCode="0.0_ "/>
    <numFmt numFmtId="177" formatCode="0.000_ "/>
    <numFmt numFmtId="178" formatCode="###\ ###\ ###"/>
    <numFmt numFmtId="179" formatCode="0.000"/>
    <numFmt numFmtId="180" formatCode="##\ ###"/>
    <numFmt numFmtId="181" formatCode="#,##0_ "/>
    <numFmt numFmtId="182" formatCode="0.000_);[Red]\(0.000\)"/>
    <numFmt numFmtId="183" formatCode="0.0"/>
    <numFmt numFmtId="184" formatCode="0_);[Red]\(0\)"/>
    <numFmt numFmtId="185" formatCode="0.0_);[Red]\(0.0\)"/>
    <numFmt numFmtId="186" formatCode="0.0000"/>
    <numFmt numFmtId="187" formatCode="0.00_ "/>
    <numFmt numFmtId="188" formatCode="0.000;[Red]0.000"/>
    <numFmt numFmtId="189" formatCode="_ * #,##0_ ;_ * \-#,##0_ ;_ * &quot;-&quot;_ ;_ @_ "/>
    <numFmt numFmtId="190" formatCode="_ * #,##0.00_ ;_ * \-#,##0.00_ ;_ * &quot;-&quot;??_ ;_ @_ "/>
    <numFmt numFmtId="191" formatCode="#\ ###.0\ ###"/>
    <numFmt numFmtId="192" formatCode="##.0\ ###"/>
    <numFmt numFmtId="193" formatCode="##\ ###.0\ ###"/>
    <numFmt numFmtId="194" formatCode="###\ ###\ ###.#"/>
    <numFmt numFmtId="195" formatCode="##\ ###.#"/>
    <numFmt numFmtId="196" formatCode="###\ ###.#"/>
    <numFmt numFmtId="197" formatCode="##.000\ ###"/>
    <numFmt numFmtId="198" formatCode="###\ ###.###"/>
    <numFmt numFmtId="199" formatCode="####.\ ###"/>
    <numFmt numFmtId="200" formatCode="0.0%"/>
    <numFmt numFmtId="201" formatCode=";;;"/>
    <numFmt numFmtId="202" formatCode="_(&quot;$&quot;* #,##0.0_);_(&quot;$&quot;* \(#,##0.0\);_(&quot;$&quot;* &quot;-&quot;??_);_(@_)"/>
  </numFmts>
  <fonts count="6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10"/>
      <color rgb="FF0000FF"/>
      <name val="돋움"/>
      <family val="3"/>
      <charset val="129"/>
    </font>
    <font>
      <sz val="9"/>
      <color rgb="FF0000FF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2"/>
      <name val="돋움"/>
      <family val="3"/>
      <charset val="129"/>
    </font>
    <font>
      <b/>
      <sz val="10"/>
      <color rgb="FFFF0000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theme="9"/>
      <name val="돋움"/>
      <family val="3"/>
      <charset val="129"/>
    </font>
    <font>
      <sz val="10"/>
      <color rgb="FFFF0000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20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62"/>
      <name val="맑은 고딕"/>
      <family val="3"/>
      <charset val="129"/>
    </font>
    <font>
      <b/>
      <sz val="13"/>
      <color indexed="62"/>
      <name val="맑은 고딕"/>
      <family val="3"/>
      <charset val="129"/>
    </font>
    <font>
      <b/>
      <sz val="11"/>
      <color indexed="62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indexed="19"/>
      <name val="맑은 고딕"/>
      <family val="3"/>
      <charset val="129"/>
    </font>
    <font>
      <sz val="12"/>
      <name val="Helv"/>
      <family val="2"/>
    </font>
    <font>
      <b/>
      <sz val="11"/>
      <color indexed="63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theme="1"/>
      <name val="맑은 고딕"/>
      <family val="2"/>
      <scheme val="minor"/>
    </font>
    <font>
      <b/>
      <sz val="9"/>
      <color rgb="FFFF0000"/>
      <name val="돋움"/>
      <family val="3"/>
      <charset val="129"/>
    </font>
    <font>
      <b/>
      <sz val="8"/>
      <color rgb="FFFF0000"/>
      <name val="돋움"/>
      <family val="3"/>
      <charset val="129"/>
    </font>
    <font>
      <sz val="11"/>
      <name val="맑은 고딕"/>
      <family val="3"/>
      <charset val="129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바탕체"/>
      <family val="1"/>
      <charset val="129"/>
    </font>
    <font>
      <sz val="11"/>
      <color theme="1"/>
      <name val="맑은 고딕"/>
      <family val="2"/>
      <charset val="129"/>
      <scheme val="major"/>
    </font>
    <font>
      <sz val="11"/>
      <color theme="0"/>
      <name val="맑은 고딕"/>
      <family val="2"/>
      <charset val="129"/>
      <scheme val="major"/>
    </font>
    <font>
      <sz val="11"/>
      <color rgb="FFFF0000"/>
      <name val="맑은 고딕"/>
      <family val="2"/>
      <charset val="129"/>
      <scheme val="major"/>
    </font>
    <font>
      <b/>
      <sz val="11"/>
      <color rgb="FFFA7D00"/>
      <name val="맑은 고딕"/>
      <family val="2"/>
      <charset val="129"/>
      <scheme val="major"/>
    </font>
    <font>
      <sz val="11"/>
      <color rgb="FF9C0006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ajor"/>
    </font>
    <font>
      <i/>
      <sz val="11"/>
      <color rgb="FF7F7F7F"/>
      <name val="맑은 고딕"/>
      <family val="2"/>
      <charset val="129"/>
      <scheme val="major"/>
    </font>
    <font>
      <b/>
      <sz val="11"/>
      <color theme="0"/>
      <name val="맑은 고딕"/>
      <family val="2"/>
      <charset val="129"/>
      <scheme val="major"/>
    </font>
    <font>
      <sz val="11"/>
      <color rgb="FFFA7D00"/>
      <name val="맑은 고딕"/>
      <family val="2"/>
      <charset val="129"/>
      <scheme val="major"/>
    </font>
    <font>
      <b/>
      <sz val="11"/>
      <color theme="1"/>
      <name val="맑은 고딕"/>
      <family val="2"/>
      <charset val="129"/>
      <scheme val="major"/>
    </font>
    <font>
      <sz val="11"/>
      <color rgb="FF3F3F76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ajor"/>
    </font>
    <font>
      <b/>
      <sz val="13"/>
      <color theme="3"/>
      <name val="맑은 고딕"/>
      <family val="2"/>
      <charset val="129"/>
      <scheme val="major"/>
    </font>
    <font>
      <b/>
      <sz val="11"/>
      <color theme="3"/>
      <name val="맑은 고딕"/>
      <family val="2"/>
      <charset val="129"/>
      <scheme val="major"/>
    </font>
    <font>
      <sz val="11"/>
      <color rgb="FF006100"/>
      <name val="맑은 고딕"/>
      <family val="2"/>
      <charset val="129"/>
      <scheme val="major"/>
    </font>
    <font>
      <b/>
      <sz val="11"/>
      <color rgb="FF3F3F3F"/>
      <name val="맑은 고딕"/>
      <family val="2"/>
      <charset val="129"/>
      <scheme val="major"/>
    </font>
    <font>
      <sz val="9"/>
      <color rgb="FFFF0000"/>
      <name val="돋움"/>
      <family val="3"/>
      <charset val="129"/>
    </font>
    <font>
      <sz val="8"/>
      <color rgb="FFFF0000"/>
      <name val="돋움"/>
      <family val="3"/>
      <charset val="129"/>
    </font>
  </fonts>
  <fills count="6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95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57" applyNumberFormat="0" applyAlignment="0" applyProtection="0">
      <alignment vertical="center"/>
    </xf>
    <xf numFmtId="0" fontId="21" fillId="25" borderId="58" applyNumberFormat="0" applyAlignment="0" applyProtection="0">
      <alignment vertical="center"/>
    </xf>
    <xf numFmtId="189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0" borderId="59" applyNumberFormat="0" applyFill="0" applyAlignment="0" applyProtection="0">
      <alignment vertical="center"/>
    </xf>
    <xf numFmtId="0" fontId="25" fillId="0" borderId="60" applyNumberFormat="0" applyFill="0" applyAlignment="0" applyProtection="0">
      <alignment vertical="center"/>
    </xf>
    <xf numFmtId="0" fontId="26" fillId="0" borderId="6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15" borderId="57" applyNumberFormat="0" applyAlignment="0" applyProtection="0">
      <alignment vertical="center"/>
    </xf>
    <xf numFmtId="0" fontId="28" fillId="0" borderId="6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16" fillId="0" borderId="0"/>
    <xf numFmtId="0" fontId="9" fillId="12" borderId="63" applyNumberFormat="0" applyFont="0" applyAlignment="0" applyProtection="0">
      <alignment vertical="center"/>
    </xf>
    <xf numFmtId="0" fontId="31" fillId="24" borderId="64" applyNumberFormat="0" applyAlignment="0" applyProtection="0">
      <alignment vertical="center"/>
    </xf>
    <xf numFmtId="9" fontId="9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center"/>
    </xf>
    <xf numFmtId="0" fontId="33" fillId="0" borderId="6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>
      <alignment vertical="center"/>
    </xf>
    <xf numFmtId="0" fontId="37" fillId="0" borderId="0">
      <protection locked="0"/>
    </xf>
    <xf numFmtId="201" fontId="38" fillId="0" borderId="0" applyFont="0" applyFill="0" applyBorder="0" applyAlignment="0" applyProtection="0">
      <alignment horizontal="right"/>
    </xf>
    <xf numFmtId="38" fontId="39" fillId="59" borderId="0" applyNumberFormat="0" applyBorder="0" applyAlignment="0" applyProtection="0"/>
    <xf numFmtId="202" fontId="38" fillId="0" borderId="0" applyNumberFormat="0" applyFill="0" applyBorder="0" applyProtection="0">
      <alignment horizontal="right"/>
    </xf>
    <xf numFmtId="0" fontId="40" fillId="0" borderId="14" applyNumberFormat="0" applyAlignment="0" applyProtection="0">
      <alignment horizontal="left" vertical="center"/>
    </xf>
    <xf numFmtId="0" fontId="40" fillId="0" borderId="36">
      <alignment horizontal="left" vertical="center"/>
    </xf>
    <xf numFmtId="0" fontId="40" fillId="0" borderId="36">
      <alignment horizontal="left" vertical="center"/>
    </xf>
    <xf numFmtId="10" fontId="39" fillId="60" borderId="1" applyNumberFormat="0" applyBorder="0" applyAlignment="0" applyProtection="0"/>
    <xf numFmtId="0" fontId="37" fillId="0" borderId="0">
      <alignment vertical="top"/>
      <protection locked="0"/>
    </xf>
    <xf numFmtId="0" fontId="30" fillId="0" borderId="0"/>
    <xf numFmtId="20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0" fontId="1" fillId="34" borderId="84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2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1" fillId="36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1" fillId="40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1" fillId="44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1" fillId="48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1" fillId="52" borderId="0" applyNumberFormat="0" applyBorder="0" applyAlignment="0" applyProtection="0">
      <alignment vertical="center"/>
    </xf>
    <xf numFmtId="0" fontId="42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1" fillId="56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1" fillId="37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1" fillId="4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1" fillId="45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1" fillId="49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1" fillId="53" borderId="0" applyNumberFormat="0" applyBorder="0" applyAlignment="0" applyProtection="0">
      <alignment vertical="center"/>
    </xf>
    <xf numFmtId="0" fontId="42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1" fillId="57" borderId="0" applyNumberFormat="0" applyBorder="0" applyAlignment="0" applyProtection="0">
      <alignment vertical="center"/>
    </xf>
    <xf numFmtId="0" fontId="43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8" borderId="0" applyNumberFormat="0" applyBorder="0" applyAlignment="0" applyProtection="0">
      <alignment vertical="center"/>
    </xf>
    <xf numFmtId="0" fontId="40" fillId="0" borderId="36">
      <alignment horizontal="left" vertical="center"/>
    </xf>
    <xf numFmtId="0" fontId="40" fillId="0" borderId="36">
      <alignment horizontal="left" vertical="center"/>
    </xf>
    <xf numFmtId="0" fontId="40" fillId="0" borderId="36">
      <alignment horizontal="left" vertical="center"/>
    </xf>
    <xf numFmtId="0" fontId="40" fillId="0" borderId="36">
      <alignment horizontal="left" vertical="center"/>
    </xf>
    <xf numFmtId="0" fontId="40" fillId="0" borderId="36">
      <alignment horizontal="left" vertical="center"/>
    </xf>
    <xf numFmtId="0" fontId="40" fillId="0" borderId="36">
      <alignment horizontal="left" vertical="center"/>
    </xf>
    <xf numFmtId="0" fontId="40" fillId="0" borderId="36">
      <alignment horizontal="left" vertical="center"/>
    </xf>
    <xf numFmtId="10" fontId="39" fillId="60" borderId="1" applyNumberFormat="0" applyBorder="0" applyAlignment="0" applyProtection="0"/>
    <xf numFmtId="0" fontId="43" fillId="35" borderId="0" applyNumberFormat="0" applyBorder="0" applyAlignment="0" applyProtection="0">
      <alignment vertical="center"/>
    </xf>
    <xf numFmtId="0" fontId="43" fillId="39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2" borderId="80" applyNumberFormat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1" fillId="34" borderId="84" applyNumberFormat="0" applyFont="0" applyAlignment="0" applyProtection="0">
      <alignment vertical="center"/>
    </xf>
    <xf numFmtId="0" fontId="1" fillId="34" borderId="84" applyNumberFormat="0" applyFont="0" applyAlignment="0" applyProtection="0">
      <alignment vertical="center"/>
    </xf>
    <xf numFmtId="0" fontId="1" fillId="34" borderId="84" applyNumberFormat="0" applyFont="0" applyAlignment="0" applyProtection="0">
      <alignment vertical="center"/>
    </xf>
    <xf numFmtId="0" fontId="42" fillId="34" borderId="84" applyNumberFormat="0" applyFont="0" applyAlignment="0" applyProtection="0">
      <alignment vertical="center"/>
    </xf>
    <xf numFmtId="0" fontId="1" fillId="34" borderId="84" applyNumberFormat="0" applyFont="0" applyAlignment="0" applyProtection="0">
      <alignment vertical="center"/>
    </xf>
    <xf numFmtId="0" fontId="1" fillId="34" borderId="84" applyNumberFormat="0" applyFont="0" applyAlignment="0" applyProtection="0">
      <alignment vertical="center"/>
    </xf>
    <xf numFmtId="0" fontId="1" fillId="34" borderId="84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33" borderId="83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0" fillId="0" borderId="82" applyNumberFormat="0" applyFill="0" applyAlignment="0" applyProtection="0">
      <alignment vertical="center"/>
    </xf>
    <xf numFmtId="0" fontId="51" fillId="0" borderId="85" applyNumberFormat="0" applyFill="0" applyAlignment="0" applyProtection="0">
      <alignment vertical="center"/>
    </xf>
    <xf numFmtId="0" fontId="52" fillId="31" borderId="80" applyNumberFormat="0" applyAlignment="0" applyProtection="0">
      <alignment vertical="center"/>
    </xf>
    <xf numFmtId="0" fontId="53" fillId="0" borderId="77" applyNumberFormat="0" applyFill="0" applyAlignment="0" applyProtection="0">
      <alignment vertical="center"/>
    </xf>
    <xf numFmtId="0" fontId="54" fillId="0" borderId="78" applyNumberFormat="0" applyFill="0" applyAlignment="0" applyProtection="0">
      <alignment vertical="center"/>
    </xf>
    <xf numFmtId="0" fontId="55" fillId="0" borderId="79" applyNumberFormat="0" applyFill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7" fillId="32" borderId="8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183" fontId="3" fillId="0" borderId="0" xfId="1" applyNumberFormat="1" applyFont="1" applyFill="1" applyBorder="1" applyAlignment="1" applyProtection="1">
      <alignment vertical="center"/>
    </xf>
    <xf numFmtId="179" fontId="3" fillId="0" borderId="0" xfId="1" applyNumberFormat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center" vertical="center"/>
    </xf>
    <xf numFmtId="2" fontId="3" fillId="0" borderId="0" xfId="1" applyNumberFormat="1" applyFont="1" applyFill="1" applyBorder="1" applyAlignment="1" applyProtection="1">
      <alignment vertical="center"/>
    </xf>
    <xf numFmtId="183" fontId="3" fillId="0" borderId="1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 applyProtection="1">
      <alignment horizontal="centerContinuous" vertical="center"/>
    </xf>
    <xf numFmtId="0" fontId="3" fillId="0" borderId="0" xfId="1" applyFont="1" applyBorder="1" applyAlignment="1" applyProtection="1">
      <alignment horizontal="distributed" vertical="center"/>
    </xf>
    <xf numFmtId="183" fontId="3" fillId="0" borderId="0" xfId="1" applyNumberFormat="1" applyFont="1" applyBorder="1" applyAlignment="1" applyProtection="1">
      <alignment vertical="center"/>
    </xf>
    <xf numFmtId="186" fontId="3" fillId="0" borderId="0" xfId="1" applyNumberFormat="1" applyFont="1" applyBorder="1" applyAlignment="1" applyProtection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5" xfId="0" applyFont="1" applyFill="1" applyBorder="1">
      <alignment vertical="center"/>
    </xf>
    <xf numFmtId="183" fontId="3" fillId="5" borderId="1" xfId="1" applyNumberFormat="1" applyFont="1" applyFill="1" applyBorder="1" applyAlignment="1" applyProtection="1">
      <alignment horizontal="right" vertical="center"/>
    </xf>
    <xf numFmtId="183" fontId="3" fillId="5" borderId="1" xfId="1" applyNumberFormat="1" applyFont="1" applyFill="1" applyBorder="1" applyAlignment="1" applyProtection="1">
      <alignment vertical="center"/>
    </xf>
    <xf numFmtId="0" fontId="9" fillId="0" borderId="0" xfId="1" applyAlignment="1" applyProtection="1">
      <alignment vertical="center"/>
    </xf>
    <xf numFmtId="0" fontId="3" fillId="0" borderId="16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4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83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183" fontId="3" fillId="0" borderId="1" xfId="0" applyNumberFormat="1" applyFont="1" applyFill="1" applyBorder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vertical="center"/>
    </xf>
    <xf numFmtId="183" fontId="3" fillId="0" borderId="1" xfId="0" applyNumberFormat="1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vertical="center"/>
    </xf>
    <xf numFmtId="179" fontId="3" fillId="0" borderId="1" xfId="0" applyNumberFormat="1" applyFont="1" applyFill="1" applyBorder="1" applyAlignment="1" applyProtection="1">
      <alignment vertical="center"/>
    </xf>
    <xf numFmtId="179" fontId="3" fillId="0" borderId="0" xfId="0" applyNumberFormat="1" applyFont="1" applyFill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184" fontId="3" fillId="0" borderId="1" xfId="0" applyNumberFormat="1" applyFont="1" applyBorder="1" applyAlignment="1" applyProtection="1">
      <alignment vertical="center"/>
    </xf>
    <xf numFmtId="185" fontId="3" fillId="0" borderId="0" xfId="0" applyNumberFormat="1" applyFont="1" applyFill="1" applyBorder="1" applyAlignment="1" applyProtection="1">
      <alignment vertical="center"/>
    </xf>
    <xf numFmtId="183" fontId="3" fillId="0" borderId="9" xfId="0" applyNumberFormat="1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6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3" fillId="0" borderId="7" xfId="0" applyFont="1" applyFill="1" applyBorder="1" applyProtection="1">
      <alignment vertical="center"/>
    </xf>
    <xf numFmtId="185" fontId="3" fillId="0" borderId="51" xfId="0" applyNumberFormat="1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185" fontId="3" fillId="0" borderId="1" xfId="0" applyNumberFormat="1" applyFont="1" applyFill="1" applyBorder="1" applyAlignment="1" applyProtection="1">
      <alignment vertical="center"/>
    </xf>
    <xf numFmtId="185" fontId="3" fillId="0" borderId="1" xfId="0" applyNumberFormat="1" applyFont="1" applyFill="1" applyBorder="1" applyAlignment="1" applyProtection="1">
      <alignment horizontal="right" vertical="center"/>
    </xf>
    <xf numFmtId="188" fontId="3" fillId="0" borderId="0" xfId="0" applyNumberFormat="1" applyFont="1" applyFill="1" applyBorder="1" applyProtection="1">
      <alignment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8" xfId="0" applyFont="1" applyFill="1" applyBorder="1" applyProtection="1">
      <alignment vertical="center"/>
    </xf>
    <xf numFmtId="0" fontId="3" fillId="0" borderId="52" xfId="0" applyFont="1" applyFill="1" applyBorder="1" applyAlignment="1" applyProtection="1">
      <alignment horizontal="distributed" vertical="center"/>
    </xf>
    <xf numFmtId="183" fontId="3" fillId="0" borderId="23" xfId="0" quotePrefix="1" applyNumberFormat="1" applyFont="1" applyFill="1" applyBorder="1" applyAlignment="1" applyProtection="1">
      <alignment horizontal="right" vertical="center"/>
    </xf>
    <xf numFmtId="184" fontId="3" fillId="0" borderId="1" xfId="0" applyNumberFormat="1" applyFont="1" applyFill="1" applyBorder="1" applyAlignment="1" applyProtection="1">
      <alignment horizontal="right" vertical="center"/>
    </xf>
    <xf numFmtId="182" fontId="3" fillId="0" borderId="1" xfId="0" applyNumberFormat="1" applyFont="1" applyFill="1" applyBorder="1" applyAlignment="1" applyProtection="1">
      <alignment vertical="center"/>
    </xf>
    <xf numFmtId="184" fontId="3" fillId="0" borderId="1" xfId="0" applyNumberFormat="1" applyFont="1" applyFill="1" applyBorder="1" applyAlignment="1" applyProtection="1">
      <alignment horizontal="center" vertical="center"/>
    </xf>
    <xf numFmtId="184" fontId="3" fillId="0" borderId="11" xfId="0" applyNumberFormat="1" applyFont="1" applyFill="1" applyBorder="1" applyAlignment="1" applyProtection="1">
      <alignment horizontal="right" vertical="center"/>
    </xf>
    <xf numFmtId="185" fontId="3" fillId="0" borderId="11" xfId="0" applyNumberFormat="1" applyFont="1" applyFill="1" applyBorder="1" applyAlignment="1" applyProtection="1">
      <alignment horizontal="right" vertical="center"/>
    </xf>
    <xf numFmtId="185" fontId="3" fillId="0" borderId="11" xfId="0" applyNumberFormat="1" applyFont="1" applyFill="1" applyBorder="1" applyAlignment="1" applyProtection="1">
      <alignment vertical="center"/>
    </xf>
    <xf numFmtId="176" fontId="3" fillId="0" borderId="11" xfId="0" applyNumberFormat="1" applyFont="1" applyFill="1" applyBorder="1" applyAlignment="1" applyProtection="1">
      <alignment vertical="center"/>
    </xf>
    <xf numFmtId="184" fontId="3" fillId="0" borderId="11" xfId="0" applyNumberFormat="1" applyFont="1" applyFill="1" applyBorder="1" applyAlignment="1" applyProtection="1">
      <alignment horizontal="center" vertical="center"/>
    </xf>
    <xf numFmtId="182" fontId="3" fillId="0" borderId="11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98" fontId="3" fillId="4" borderId="16" xfId="0" applyNumberFormat="1" applyFont="1" applyFill="1" applyBorder="1" applyAlignment="1">
      <alignment horizontal="center" vertical="center"/>
    </xf>
    <xf numFmtId="198" fontId="3" fillId="4" borderId="1" xfId="0" applyNumberFormat="1" applyFont="1" applyFill="1" applyBorder="1" applyAlignment="1">
      <alignment horizontal="center" vertical="center"/>
    </xf>
    <xf numFmtId="198" fontId="3" fillId="4" borderId="1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Protection="1">
      <alignment vertical="center"/>
    </xf>
    <xf numFmtId="200" fontId="9" fillId="0" borderId="0" xfId="4" applyNumberFormat="1" applyAlignment="1" applyProtection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0" fontId="3" fillId="0" borderId="52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2" fontId="3" fillId="4" borderId="0" xfId="0" applyNumberFormat="1" applyFont="1" applyFill="1" applyAlignment="1">
      <alignment horizontal="center" vertical="center"/>
    </xf>
    <xf numFmtId="198" fontId="15" fillId="4" borderId="16" xfId="0" applyNumberFormat="1" applyFont="1" applyFill="1" applyBorder="1" applyAlignment="1">
      <alignment horizontal="center" vertical="center"/>
    </xf>
    <xf numFmtId="198" fontId="15" fillId="4" borderId="28" xfId="0" applyNumberFormat="1" applyFont="1" applyFill="1" applyBorder="1" applyAlignment="1">
      <alignment horizontal="center" vertical="center"/>
    </xf>
    <xf numFmtId="198" fontId="15" fillId="4" borderId="1" xfId="0" applyNumberFormat="1" applyFont="1" applyFill="1" applyBorder="1" applyAlignment="1">
      <alignment horizontal="center" vertical="center"/>
    </xf>
    <xf numFmtId="198" fontId="15" fillId="4" borderId="2" xfId="0" applyNumberFormat="1" applyFont="1" applyFill="1" applyBorder="1" applyAlignment="1">
      <alignment horizontal="center" vertical="center"/>
    </xf>
    <xf numFmtId="198" fontId="15" fillId="4" borderId="11" xfId="0" applyNumberFormat="1" applyFont="1" applyFill="1" applyBorder="1" applyAlignment="1">
      <alignment horizontal="center" vertical="center"/>
    </xf>
    <xf numFmtId="198" fontId="15" fillId="4" borderId="12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9" fillId="0" borderId="0" xfId="1" applyBorder="1" applyAlignment="1" applyProtection="1">
      <alignment horizontal="center" vertical="center"/>
    </xf>
    <xf numFmtId="181" fontId="9" fillId="0" borderId="0" xfId="1" applyNumberFormat="1" applyFill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vertical="center"/>
    </xf>
    <xf numFmtId="0" fontId="4" fillId="6" borderId="16" xfId="1" applyFont="1" applyFill="1" applyBorder="1" applyAlignment="1" applyProtection="1">
      <alignment horizontal="center" vertical="center"/>
    </xf>
    <xf numFmtId="0" fontId="4" fillId="6" borderId="16" xfId="1" applyFont="1" applyFill="1" applyBorder="1" applyAlignment="1" applyProtection="1">
      <alignment horizontal="center" vertical="center" wrapText="1"/>
    </xf>
    <xf numFmtId="0" fontId="4" fillId="6" borderId="28" xfId="1" applyFont="1" applyFill="1" applyBorder="1" applyAlignment="1" applyProtection="1">
      <alignment horizontal="center" vertical="center" wrapText="1"/>
    </xf>
    <xf numFmtId="177" fontId="11" fillId="0" borderId="11" xfId="1" applyNumberFormat="1" applyFont="1" applyBorder="1" applyAlignment="1" applyProtection="1">
      <alignment horizontal="center" vertical="center"/>
    </xf>
    <xf numFmtId="183" fontId="11" fillId="0" borderId="11" xfId="1" applyNumberFormat="1" applyFont="1" applyBorder="1" applyAlignment="1" applyProtection="1">
      <alignment horizontal="center" vertical="center"/>
    </xf>
    <xf numFmtId="2" fontId="11" fillId="0" borderId="11" xfId="1" applyNumberFormat="1" applyFont="1" applyBorder="1" applyAlignment="1" applyProtection="1">
      <alignment horizontal="center" vertical="center"/>
    </xf>
    <xf numFmtId="1" fontId="11" fillId="0" borderId="11" xfId="1" applyNumberFormat="1" applyFont="1" applyBorder="1" applyAlignment="1" applyProtection="1">
      <alignment horizontal="center" vertical="center"/>
    </xf>
    <xf numFmtId="178" fontId="11" fillId="0" borderId="12" xfId="1" applyNumberFormat="1" applyFont="1" applyBorder="1" applyAlignment="1" applyProtection="1">
      <alignment horizontal="center" vertical="center"/>
    </xf>
    <xf numFmtId="0" fontId="9" fillId="0" borderId="0" xfId="1" applyBorder="1" applyAlignment="1" applyProtection="1">
      <alignment vertical="center"/>
    </xf>
    <xf numFmtId="0" fontId="3" fillId="6" borderId="43" xfId="1" applyFont="1" applyFill="1" applyBorder="1" applyAlignment="1" applyProtection="1">
      <alignment vertical="center"/>
    </xf>
    <xf numFmtId="0" fontId="3" fillId="6" borderId="44" xfId="1" applyFont="1" applyFill="1" applyBorder="1" applyAlignment="1" applyProtection="1">
      <alignment horizontal="center" vertical="center"/>
    </xf>
    <xf numFmtId="0" fontId="3" fillId="6" borderId="48" xfId="1" applyFont="1" applyFill="1" applyBorder="1" applyAlignment="1" applyProtection="1">
      <alignment vertical="center"/>
    </xf>
    <xf numFmtId="0" fontId="3" fillId="6" borderId="49" xfId="1" applyFont="1" applyFill="1" applyBorder="1" applyAlignment="1" applyProtection="1">
      <alignment vertical="center"/>
    </xf>
    <xf numFmtId="0" fontId="3" fillId="6" borderId="1" xfId="1" applyFont="1" applyFill="1" applyBorder="1" applyAlignment="1" applyProtection="1">
      <alignment horizontal="center" vertical="center"/>
    </xf>
    <xf numFmtId="0" fontId="3" fillId="0" borderId="50" xfId="1" applyFont="1" applyBorder="1" applyAlignment="1" applyProtection="1">
      <alignment horizontal="center" vertical="center"/>
    </xf>
    <xf numFmtId="0" fontId="3" fillId="6" borderId="26" xfId="1" applyFont="1" applyFill="1" applyBorder="1" applyAlignment="1" applyProtection="1">
      <alignment vertical="center"/>
    </xf>
    <xf numFmtId="0" fontId="3" fillId="6" borderId="27" xfId="1" applyFont="1" applyFill="1" applyBorder="1" applyAlignment="1" applyProtection="1">
      <alignment vertical="center"/>
    </xf>
    <xf numFmtId="0" fontId="3" fillId="6" borderId="52" xfId="1" applyFont="1" applyFill="1" applyBorder="1" applyAlignment="1" applyProtection="1">
      <alignment horizontal="center" vertical="center"/>
    </xf>
    <xf numFmtId="0" fontId="3" fillId="6" borderId="26" xfId="1" applyFont="1" applyFill="1" applyBorder="1" applyAlignment="1" applyProtection="1">
      <alignment horizontal="center" vertical="center"/>
    </xf>
    <xf numFmtId="0" fontId="3" fillId="0" borderId="52" xfId="1" applyFont="1" applyBorder="1" applyAlignment="1" applyProtection="1">
      <alignment horizontal="distributed" vertical="center"/>
    </xf>
    <xf numFmtId="2" fontId="3" fillId="0" borderId="1" xfId="1" applyNumberFormat="1" applyFont="1" applyFill="1" applyBorder="1" applyAlignment="1" applyProtection="1">
      <alignment horizontal="center" vertical="center"/>
    </xf>
    <xf numFmtId="183" fontId="3" fillId="0" borderId="1" xfId="1" applyNumberFormat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vertical="center"/>
    </xf>
    <xf numFmtId="49" fontId="3" fillId="6" borderId="22" xfId="1" applyNumberFormat="1" applyFont="1" applyFill="1" applyBorder="1" applyAlignment="1" applyProtection="1">
      <alignment horizontal="center" vertical="center"/>
    </xf>
    <xf numFmtId="179" fontId="3" fillId="0" borderId="1" xfId="1" applyNumberFormat="1" applyFont="1" applyBorder="1" applyAlignment="1" applyProtection="1">
      <alignment horizontal="right" vertical="center"/>
    </xf>
    <xf numFmtId="179" fontId="3" fillId="0" borderId="1" xfId="1" applyNumberFormat="1" applyFont="1" applyBorder="1" applyAlignment="1" applyProtection="1">
      <alignment vertical="center"/>
    </xf>
    <xf numFmtId="183" fontId="3" fillId="0" borderId="52" xfId="1" applyNumberFormat="1" applyFont="1" applyFill="1" applyBorder="1" applyAlignment="1" applyProtection="1">
      <alignment horizontal="center" vertical="center"/>
    </xf>
    <xf numFmtId="179" fontId="3" fillId="0" borderId="1" xfId="1" applyNumberFormat="1" applyFont="1" applyFill="1" applyBorder="1" applyAlignment="1" applyProtection="1">
      <alignment vertical="center"/>
    </xf>
    <xf numFmtId="183" fontId="3" fillId="0" borderId="1" xfId="1" applyNumberFormat="1" applyFont="1" applyBorder="1" applyAlignment="1" applyProtection="1">
      <alignment horizontal="center" vertical="center"/>
    </xf>
    <xf numFmtId="0" fontId="3" fillId="0" borderId="54" xfId="1" applyFont="1" applyBorder="1" applyAlignment="1" applyProtection="1">
      <alignment vertical="center"/>
    </xf>
    <xf numFmtId="179" fontId="3" fillId="0" borderId="0" xfId="1" applyNumberFormat="1" applyFont="1" applyFill="1" applyBorder="1" applyAlignment="1" applyProtection="1">
      <alignment vertical="center"/>
    </xf>
    <xf numFmtId="0" fontId="3" fillId="0" borderId="55" xfId="0" applyFont="1" applyFill="1" applyBorder="1" applyAlignment="1" applyProtection="1">
      <alignment vertical="center"/>
    </xf>
    <xf numFmtId="0" fontId="3" fillId="7" borderId="55" xfId="0" applyFont="1" applyFill="1" applyBorder="1" applyAlignment="1" applyProtection="1">
      <alignment horizontal="center" vertical="center"/>
    </xf>
    <xf numFmtId="0" fontId="3" fillId="9" borderId="55" xfId="0" applyFont="1" applyFill="1" applyBorder="1" applyAlignment="1" applyProtection="1">
      <alignment horizontal="center" vertical="center"/>
    </xf>
    <xf numFmtId="0" fontId="3" fillId="8" borderId="55" xfId="0" applyFont="1" applyFill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center" vertical="center"/>
    </xf>
    <xf numFmtId="0" fontId="3" fillId="7" borderId="50" xfId="0" applyFont="1" applyFill="1" applyBorder="1" applyAlignment="1" applyProtection="1">
      <alignment horizontal="center" vertical="center"/>
    </xf>
    <xf numFmtId="0" fontId="3" fillId="9" borderId="50" xfId="0" applyFont="1" applyFill="1" applyBorder="1" applyAlignment="1" applyProtection="1">
      <alignment horizontal="center" vertical="center"/>
    </xf>
    <xf numFmtId="0" fontId="3" fillId="8" borderId="50" xfId="0" applyFont="1" applyFill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7" borderId="52" xfId="0" applyFont="1" applyFill="1" applyBorder="1" applyAlignment="1" applyProtection="1">
      <alignment horizontal="center" vertical="center"/>
    </xf>
    <xf numFmtId="0" fontId="3" fillId="9" borderId="52" xfId="0" applyFont="1" applyFill="1" applyBorder="1" applyAlignment="1" applyProtection="1">
      <alignment horizontal="center" vertical="center"/>
    </xf>
    <xf numFmtId="0" fontId="3" fillId="8" borderId="52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182" fontId="3" fillId="0" borderId="7" xfId="1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183" fontId="3" fillId="0" borderId="1" xfId="0" applyNumberFormat="1" applyFont="1" applyBorder="1" applyAlignment="1" applyProtection="1">
      <alignment vertical="center"/>
    </xf>
    <xf numFmtId="183" fontId="3" fillId="7" borderId="1" xfId="0" applyNumberFormat="1" applyFont="1" applyFill="1" applyBorder="1" applyAlignment="1" applyProtection="1">
      <alignment vertical="center"/>
    </xf>
    <xf numFmtId="183" fontId="3" fillId="9" borderId="1" xfId="0" applyNumberFormat="1" applyFont="1" applyFill="1" applyBorder="1" applyAlignment="1" applyProtection="1">
      <alignment vertical="center"/>
    </xf>
    <xf numFmtId="183" fontId="3" fillId="8" borderId="1" xfId="0" applyNumberFormat="1" applyFont="1" applyFill="1" applyBorder="1" applyAlignment="1" applyProtection="1">
      <alignment vertical="center"/>
    </xf>
    <xf numFmtId="179" fontId="3" fillId="0" borderId="1" xfId="0" applyNumberFormat="1" applyFont="1" applyBorder="1" applyAlignment="1" applyProtection="1">
      <alignment vertical="center"/>
    </xf>
    <xf numFmtId="177" fontId="3" fillId="0" borderId="76" xfId="1" applyNumberFormat="1" applyFont="1" applyBorder="1" applyAlignment="1" applyProtection="1">
      <alignment vertical="center"/>
    </xf>
    <xf numFmtId="185" fontId="3" fillId="0" borderId="7" xfId="1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184" fontId="3" fillId="0" borderId="1" xfId="0" applyNumberFormat="1" applyFont="1" applyFill="1" applyBorder="1" applyAlignment="1" applyProtection="1">
      <alignment vertical="center"/>
    </xf>
    <xf numFmtId="2" fontId="3" fillId="0" borderId="7" xfId="1" applyNumberFormat="1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centerContinuous" vertical="center"/>
    </xf>
    <xf numFmtId="0" fontId="3" fillId="0" borderId="35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0" fontId="3" fillId="0" borderId="40" xfId="0" applyFont="1" applyFill="1" applyBorder="1" applyAlignment="1" applyProtection="1">
      <alignment vertical="center"/>
    </xf>
    <xf numFmtId="0" fontId="3" fillId="0" borderId="35" xfId="0" applyFont="1" applyBorder="1" applyAlignment="1" applyProtection="1">
      <alignment vertical="center"/>
    </xf>
    <xf numFmtId="183" fontId="3" fillId="0" borderId="11" xfId="0" applyNumberFormat="1" applyFont="1" applyBorder="1" applyAlignment="1" applyProtection="1">
      <alignment vertical="center"/>
    </xf>
    <xf numFmtId="182" fontId="3" fillId="0" borderId="11" xfId="0" applyNumberFormat="1" applyFont="1" applyBorder="1" applyAlignment="1" applyProtection="1">
      <alignment vertical="center"/>
    </xf>
    <xf numFmtId="177" fontId="4" fillId="0" borderId="12" xfId="1" applyNumberFormat="1" applyFont="1" applyBorder="1" applyAlignment="1" applyProtection="1">
      <alignment vertical="center"/>
    </xf>
    <xf numFmtId="184" fontId="3" fillId="0" borderId="0" xfId="1" applyNumberFormat="1" applyFont="1" applyBorder="1" applyAlignment="1" applyProtection="1">
      <alignment vertical="center"/>
    </xf>
    <xf numFmtId="185" fontId="3" fillId="0" borderId="0" xfId="1" applyNumberFormat="1" applyFont="1" applyBorder="1" applyAlignment="1" applyProtection="1">
      <alignment vertical="center"/>
    </xf>
    <xf numFmtId="177" fontId="3" fillId="0" borderId="0" xfId="1" applyNumberFormat="1" applyFont="1" applyBorder="1" applyAlignment="1" applyProtection="1">
      <alignment vertical="center"/>
    </xf>
    <xf numFmtId="0" fontId="3" fillId="0" borderId="8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horizontal="center" vertical="center"/>
    </xf>
    <xf numFmtId="183" fontId="3" fillId="0" borderId="9" xfId="1" applyNumberFormat="1" applyFont="1" applyBorder="1" applyAlignment="1" applyProtection="1">
      <alignment vertical="center"/>
    </xf>
    <xf numFmtId="0" fontId="3" fillId="0" borderId="9" xfId="1" applyFont="1" applyFill="1" applyBorder="1" applyAlignment="1" applyProtection="1">
      <alignment horizontal="center" vertical="center"/>
    </xf>
    <xf numFmtId="183" fontId="3" fillId="0" borderId="9" xfId="1" applyNumberFormat="1" applyFont="1" applyFill="1" applyBorder="1" applyAlignment="1" applyProtection="1">
      <alignment vertical="center"/>
    </xf>
    <xf numFmtId="179" fontId="3" fillId="0" borderId="9" xfId="1" applyNumberFormat="1" applyFont="1" applyBorder="1" applyAlignment="1" applyProtection="1">
      <alignment vertical="center"/>
    </xf>
    <xf numFmtId="2" fontId="3" fillId="0" borderId="10" xfId="1" applyNumberFormat="1" applyFont="1" applyBorder="1" applyAlignment="1" applyProtection="1">
      <alignment vertical="center"/>
    </xf>
    <xf numFmtId="2" fontId="3" fillId="0" borderId="0" xfId="1" applyNumberFormat="1" applyFont="1" applyBorder="1" applyAlignment="1" applyProtection="1">
      <alignment vertical="center"/>
    </xf>
    <xf numFmtId="0" fontId="3" fillId="26" borderId="1" xfId="1" applyFont="1" applyFill="1" applyBorder="1" applyAlignment="1" applyProtection="1">
      <alignment horizontal="center" vertical="center"/>
    </xf>
    <xf numFmtId="2" fontId="3" fillId="0" borderId="1" xfId="1" applyNumberFormat="1" applyFont="1" applyBorder="1" applyAlignment="1" applyProtection="1">
      <alignment horizontal="center" vertical="center"/>
    </xf>
    <xf numFmtId="176" fontId="11" fillId="0" borderId="11" xfId="1" applyNumberFormat="1" applyFont="1" applyBorder="1" applyAlignment="1" applyProtection="1">
      <alignment horizontal="center" vertical="center"/>
    </xf>
    <xf numFmtId="178" fontId="3" fillId="0" borderId="1" xfId="1" applyNumberFormat="1" applyFont="1" applyBorder="1" applyAlignment="1" applyProtection="1">
      <alignment vertical="center"/>
    </xf>
    <xf numFmtId="176" fontId="3" fillId="27" borderId="1" xfId="0" applyNumberFormat="1" applyFont="1" applyFill="1" applyBorder="1" applyAlignment="1" applyProtection="1"/>
    <xf numFmtId="49" fontId="3" fillId="6" borderId="1" xfId="1" applyNumberFormat="1" applyFont="1" applyFill="1" applyBorder="1" applyAlignment="1" applyProtection="1">
      <alignment horizontal="center" vertical="center"/>
    </xf>
    <xf numFmtId="179" fontId="3" fillId="3" borderId="1" xfId="1" applyNumberFormat="1" applyFont="1" applyFill="1" applyBorder="1" applyAlignment="1" applyProtection="1">
      <alignment horizontal="right" vertical="center"/>
    </xf>
    <xf numFmtId="179" fontId="3" fillId="3" borderId="1" xfId="1" applyNumberFormat="1" applyFont="1" applyFill="1" applyBorder="1" applyAlignment="1" applyProtection="1">
      <alignment vertical="center"/>
    </xf>
    <xf numFmtId="183" fontId="3" fillId="3" borderId="1" xfId="1" applyNumberFormat="1" applyFont="1" applyFill="1" applyBorder="1" applyAlignment="1" applyProtection="1">
      <alignment horizontal="center" vertical="center"/>
    </xf>
    <xf numFmtId="179" fontId="3" fillId="0" borderId="1" xfId="1" applyNumberFormat="1" applyFont="1" applyBorder="1" applyAlignment="1" applyProtection="1">
      <alignment horizontal="center" vertical="center"/>
    </xf>
    <xf numFmtId="187" fontId="3" fillId="27" borderId="1" xfId="0" applyNumberFormat="1" applyFont="1" applyFill="1" applyBorder="1" applyAlignment="1" applyProtection="1"/>
    <xf numFmtId="0" fontId="3" fillId="5" borderId="1" xfId="1" applyFont="1" applyFill="1" applyBorder="1" applyAlignment="1" applyProtection="1">
      <alignment vertical="center"/>
    </xf>
    <xf numFmtId="179" fontId="3" fillId="3" borderId="1" xfId="1" applyNumberFormat="1" applyFont="1" applyFill="1" applyBorder="1" applyAlignment="1" applyProtection="1">
      <alignment horizontal="center" vertical="center"/>
    </xf>
    <xf numFmtId="183" fontId="3" fillId="3" borderId="1" xfId="1" applyNumberFormat="1" applyFont="1" applyFill="1" applyBorder="1" applyAlignment="1" applyProtection="1">
      <alignment horizontal="right" vertical="center"/>
    </xf>
    <xf numFmtId="0" fontId="3" fillId="3" borderId="0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7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187" fontId="3" fillId="0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Protection="1">
      <alignment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50" xfId="0" applyFont="1" applyFill="1" applyBorder="1" applyAlignment="1" applyProtection="1">
      <alignment horizontal="distributed" vertical="center"/>
    </xf>
    <xf numFmtId="0" fontId="3" fillId="0" borderId="50" xfId="0" applyFont="1" applyFill="1" applyBorder="1" applyAlignment="1" applyProtection="1">
      <alignment vertical="center"/>
    </xf>
    <xf numFmtId="0" fontId="3" fillId="0" borderId="69" xfId="0" applyFont="1" applyFill="1" applyBorder="1" applyProtection="1">
      <alignment vertical="center"/>
    </xf>
    <xf numFmtId="0" fontId="3" fillId="0" borderId="3" xfId="0" applyFont="1" applyFill="1" applyBorder="1" applyAlignment="1" applyProtection="1">
      <alignment horizontal="distributed" vertical="center"/>
    </xf>
    <xf numFmtId="184" fontId="3" fillId="0" borderId="16" xfId="0" applyNumberFormat="1" applyFont="1" applyFill="1" applyBorder="1" applyAlignment="1" applyProtection="1">
      <alignment horizontal="right" vertical="center"/>
    </xf>
    <xf numFmtId="185" fontId="3" fillId="0" borderId="16" xfId="0" applyNumberFormat="1" applyFont="1" applyFill="1" applyBorder="1" applyAlignment="1" applyProtection="1">
      <alignment horizontal="right" vertical="center"/>
    </xf>
    <xf numFmtId="176" fontId="3" fillId="0" borderId="16" xfId="0" applyNumberFormat="1" applyFont="1" applyFill="1" applyBorder="1" applyAlignment="1" applyProtection="1">
      <alignment vertical="center"/>
    </xf>
    <xf numFmtId="184" fontId="3" fillId="0" borderId="16" xfId="0" applyNumberFormat="1" applyFont="1" applyFill="1" applyBorder="1" applyAlignment="1" applyProtection="1">
      <alignment horizontal="center" vertical="center"/>
    </xf>
    <xf numFmtId="182" fontId="3" fillId="0" borderId="16" xfId="0" applyNumberFormat="1" applyFont="1" applyFill="1" applyBorder="1" applyAlignment="1" applyProtection="1">
      <alignment vertical="center"/>
    </xf>
    <xf numFmtId="185" fontId="3" fillId="0" borderId="16" xfId="0" applyNumberFormat="1" applyFont="1" applyFill="1" applyBorder="1" applyAlignment="1" applyProtection="1">
      <alignment vertical="center"/>
    </xf>
    <xf numFmtId="177" fontId="3" fillId="0" borderId="28" xfId="0" applyNumberFormat="1" applyFont="1" applyFill="1" applyBorder="1" applyProtection="1">
      <alignment vertical="center"/>
    </xf>
    <xf numFmtId="0" fontId="3" fillId="0" borderId="4" xfId="0" applyFont="1" applyFill="1" applyBorder="1" applyAlignment="1" applyProtection="1">
      <alignment horizontal="distributed" vertical="center"/>
    </xf>
    <xf numFmtId="177" fontId="3" fillId="0" borderId="2" xfId="0" applyNumberFormat="1" applyFont="1" applyFill="1" applyBorder="1" applyProtection="1">
      <alignment vertical="center"/>
    </xf>
    <xf numFmtId="0" fontId="3" fillId="0" borderId="67" xfId="0" applyFont="1" applyFill="1" applyBorder="1" applyAlignment="1" applyProtection="1">
      <alignment horizontal="center" vertical="center"/>
    </xf>
    <xf numFmtId="184" fontId="3" fillId="0" borderId="51" xfId="0" applyNumberFormat="1" applyFont="1" applyFill="1" applyBorder="1" applyAlignment="1" applyProtection="1">
      <alignment horizontal="right" vertical="center"/>
    </xf>
    <xf numFmtId="185" fontId="3" fillId="0" borderId="51" xfId="0" applyNumberFormat="1" applyFont="1" applyFill="1" applyBorder="1" applyAlignment="1" applyProtection="1">
      <alignment horizontal="right" vertical="center"/>
    </xf>
    <xf numFmtId="176" fontId="3" fillId="0" borderId="51" xfId="0" applyNumberFormat="1" applyFont="1" applyFill="1" applyBorder="1" applyAlignment="1" applyProtection="1">
      <alignment vertical="center"/>
    </xf>
    <xf numFmtId="184" fontId="3" fillId="0" borderId="51" xfId="0" applyNumberFormat="1" applyFont="1" applyFill="1" applyBorder="1" applyAlignment="1" applyProtection="1">
      <alignment horizontal="center" vertical="center"/>
    </xf>
    <xf numFmtId="182" fontId="3" fillId="0" borderId="51" xfId="0" applyNumberFormat="1" applyFont="1" applyFill="1" applyBorder="1" applyAlignment="1" applyProtection="1">
      <alignment vertical="center"/>
    </xf>
    <xf numFmtId="177" fontId="3" fillId="0" borderId="76" xfId="0" applyNumberFormat="1" applyFont="1" applyFill="1" applyBorder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Protection="1">
      <alignment vertical="center"/>
    </xf>
    <xf numFmtId="0" fontId="3" fillId="0" borderId="8" xfId="0" applyFont="1" applyFill="1" applyBorder="1" applyAlignment="1" applyProtection="1">
      <alignment horizontal="centerContinuous" vertical="center"/>
    </xf>
    <xf numFmtId="0" fontId="3" fillId="0" borderId="46" xfId="0" applyFont="1" applyFill="1" applyBorder="1" applyAlignment="1" applyProtection="1">
      <alignment horizontal="centerContinuous" vertical="center"/>
    </xf>
    <xf numFmtId="184" fontId="3" fillId="0" borderId="10" xfId="0" applyNumberFormat="1" applyFont="1" applyFill="1" applyBorder="1" applyAlignment="1" applyProtection="1">
      <alignment vertical="center"/>
    </xf>
    <xf numFmtId="0" fontId="0" fillId="0" borderId="9" xfId="0" applyFill="1" applyBorder="1" applyProtection="1">
      <alignment vertical="center"/>
    </xf>
    <xf numFmtId="185" fontId="3" fillId="0" borderId="56" xfId="0" applyNumberFormat="1" applyFont="1" applyFill="1" applyBorder="1" applyAlignment="1" applyProtection="1">
      <alignment vertical="center"/>
    </xf>
    <xf numFmtId="185" fontId="3" fillId="0" borderId="46" xfId="0" applyNumberFormat="1" applyFont="1" applyFill="1" applyBorder="1" applyAlignment="1" applyProtection="1">
      <alignment vertical="center"/>
    </xf>
    <xf numFmtId="177" fontId="3" fillId="0" borderId="47" xfId="0" applyNumberFormat="1" applyFont="1" applyFill="1" applyBorder="1" applyProtection="1">
      <alignment vertical="center"/>
    </xf>
    <xf numFmtId="2" fontId="3" fillId="0" borderId="9" xfId="0" applyNumberFormat="1" applyFont="1" applyFill="1" applyBorder="1" applyAlignment="1" applyProtection="1">
      <alignment vertical="center"/>
    </xf>
    <xf numFmtId="2" fontId="3" fillId="0" borderId="10" xfId="0" applyNumberFormat="1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5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2" borderId="70" xfId="0" applyFont="1" applyFill="1" applyBorder="1" applyAlignment="1" applyProtection="1">
      <alignment horizontal="center" vertical="center"/>
    </xf>
    <xf numFmtId="0" fontId="5" fillId="2" borderId="75" xfId="0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180" fontId="35" fillId="0" borderId="16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180" fontId="35" fillId="0" borderId="1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 wrapText="1"/>
    </xf>
    <xf numFmtId="192" fontId="35" fillId="0" borderId="1" xfId="0" applyNumberFormat="1" applyFont="1" applyFill="1" applyBorder="1" applyAlignment="1" applyProtection="1">
      <alignment horizontal="center" vertical="center"/>
    </xf>
    <xf numFmtId="195" fontId="35" fillId="0" borderId="1" xfId="0" applyNumberFormat="1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 wrapText="1"/>
    </xf>
    <xf numFmtId="197" fontId="35" fillId="0" borderId="11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80" fontId="36" fillId="0" borderId="16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180" fontId="36" fillId="0" borderId="52" xfId="0" applyNumberFormat="1" applyFont="1" applyFill="1" applyBorder="1" applyAlignment="1" applyProtection="1">
      <alignment horizontal="center" vertical="center"/>
    </xf>
    <xf numFmtId="178" fontId="5" fillId="0" borderId="26" xfId="0" applyNumberFormat="1" applyFont="1" applyFill="1" applyBorder="1" applyAlignment="1" applyProtection="1">
      <alignment horizontal="center" vertical="center"/>
    </xf>
    <xf numFmtId="178" fontId="5" fillId="0" borderId="74" xfId="0" applyNumberFormat="1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 wrapText="1"/>
    </xf>
    <xf numFmtId="178" fontId="5" fillId="0" borderId="22" xfId="0" applyNumberFormat="1" applyFont="1" applyFill="1" applyBorder="1" applyAlignment="1" applyProtection="1">
      <alignment horizontal="center" vertical="center"/>
    </xf>
    <xf numFmtId="178" fontId="5" fillId="0" borderId="66" xfId="0" applyNumberFormat="1" applyFont="1" applyFill="1" applyBorder="1" applyAlignment="1" applyProtection="1">
      <alignment horizontal="center" vertical="center"/>
    </xf>
    <xf numFmtId="191" fontId="36" fillId="0" borderId="1" xfId="0" applyNumberFormat="1" applyFont="1" applyFill="1" applyBorder="1" applyAlignment="1" applyProtection="1">
      <alignment horizontal="center" vertical="center"/>
    </xf>
    <xf numFmtId="193" fontId="36" fillId="0" borderId="1" xfId="0" applyNumberFormat="1" applyFont="1" applyFill="1" applyBorder="1" applyAlignment="1" applyProtection="1">
      <alignment horizontal="center" vertical="center"/>
    </xf>
    <xf numFmtId="180" fontId="36" fillId="0" borderId="1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/>
    </xf>
    <xf numFmtId="0" fontId="35" fillId="0" borderId="11" xfId="0" applyFont="1" applyFill="1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2" fillId="61" borderId="5" xfId="0" applyFont="1" applyFill="1" applyBorder="1" applyAlignment="1" applyProtection="1">
      <alignment horizontal="center" vertical="center"/>
    </xf>
    <xf numFmtId="0" fontId="2" fillId="61" borderId="11" xfId="0" applyFont="1" applyFill="1" applyBorder="1" applyAlignment="1" applyProtection="1">
      <alignment horizontal="center" vertical="center"/>
    </xf>
    <xf numFmtId="0" fontId="3" fillId="61" borderId="34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8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88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8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5" fillId="2" borderId="26" xfId="0" applyFont="1" applyFill="1" applyBorder="1" applyAlignment="1">
      <alignment horizontal="center" vertical="center"/>
    </xf>
    <xf numFmtId="9" fontId="3" fillId="0" borderId="30" xfId="4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2" fillId="0" borderId="52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180" fontId="2" fillId="0" borderId="22" xfId="0" applyNumberFormat="1" applyFont="1" applyFill="1" applyBorder="1" applyAlignment="1">
      <alignment horizontal="center" vertical="center"/>
    </xf>
    <xf numFmtId="191" fontId="2" fillId="0" borderId="1" xfId="0" applyNumberFormat="1" applyFont="1" applyFill="1" applyBorder="1" applyAlignment="1">
      <alignment horizontal="center" vertical="center"/>
    </xf>
    <xf numFmtId="191" fontId="2" fillId="0" borderId="22" xfId="0" applyNumberFormat="1" applyFont="1" applyFill="1" applyBorder="1" applyAlignment="1">
      <alignment horizontal="center" vertical="center"/>
    </xf>
    <xf numFmtId="180" fontId="59" fillId="0" borderId="4" xfId="0" applyNumberFormat="1" applyFont="1" applyFill="1" applyBorder="1" applyAlignment="1">
      <alignment horizontal="center" vertical="center"/>
    </xf>
    <xf numFmtId="180" fontId="59" fillId="0" borderId="1" xfId="0" applyNumberFormat="1" applyFont="1" applyFill="1" applyBorder="1" applyAlignment="1">
      <alignment horizontal="center" vertical="center"/>
    </xf>
    <xf numFmtId="191" fontId="59" fillId="0" borderId="4" xfId="0" applyNumberFormat="1" applyFont="1" applyFill="1" applyBorder="1" applyAlignment="1">
      <alignment horizontal="center" vertical="center"/>
    </xf>
    <xf numFmtId="191" fontId="59" fillId="0" borderId="1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2" fontId="5" fillId="4" borderId="22" xfId="0" applyNumberFormat="1" applyFont="1" applyFill="1" applyBorder="1" applyAlignment="1">
      <alignment horizontal="center" vertical="center"/>
    </xf>
    <xf numFmtId="2" fontId="5" fillId="4" borderId="36" xfId="0" applyNumberFormat="1" applyFont="1" applyFill="1" applyBorder="1" applyAlignment="1">
      <alignment horizontal="center" vertical="center"/>
    </xf>
    <xf numFmtId="2" fontId="58" fillId="3" borderId="4" xfId="0" applyNumberFormat="1" applyFont="1" applyFill="1" applyBorder="1" applyAlignment="1">
      <alignment horizontal="center" vertical="center"/>
    </xf>
    <xf numFmtId="2" fontId="58" fillId="3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80" fontId="5" fillId="4" borderId="22" xfId="0" applyNumberFormat="1" applyFont="1" applyFill="1" applyBorder="1" applyAlignment="1">
      <alignment horizontal="center" vertical="center"/>
    </xf>
    <xf numFmtId="180" fontId="5" fillId="4" borderId="36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179" fontId="5" fillId="4" borderId="22" xfId="0" applyNumberFormat="1" applyFont="1" applyFill="1" applyBorder="1" applyAlignment="1">
      <alignment horizontal="center" vertical="center"/>
    </xf>
    <xf numFmtId="179" fontId="5" fillId="4" borderId="36" xfId="0" applyNumberFormat="1" applyFont="1" applyFill="1" applyBorder="1" applyAlignment="1">
      <alignment horizontal="center" vertical="center"/>
    </xf>
    <xf numFmtId="179" fontId="5" fillId="4" borderId="34" xfId="0" applyNumberFormat="1" applyFont="1" applyFill="1" applyBorder="1" applyAlignment="1">
      <alignment horizontal="center" vertical="center"/>
    </xf>
    <xf numFmtId="179" fontId="5" fillId="4" borderId="40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187" fontId="5" fillId="4" borderId="68" xfId="0" applyNumberFormat="1" applyFont="1" applyFill="1" applyBorder="1" applyAlignment="1">
      <alignment horizontal="center" vertical="center"/>
    </xf>
    <xf numFmtId="187" fontId="5" fillId="4" borderId="9" xfId="0" applyNumberFormat="1" applyFont="1" applyFill="1" applyBorder="1" applyAlignment="1">
      <alignment horizontal="center" vertical="center"/>
    </xf>
    <xf numFmtId="187" fontId="58" fillId="4" borderId="5" xfId="0" applyNumberFormat="1" applyFont="1" applyFill="1" applyBorder="1" applyAlignment="1">
      <alignment horizontal="center" vertical="center"/>
    </xf>
    <xf numFmtId="187" fontId="58" fillId="4" borderId="11" xfId="0" applyNumberFormat="1" applyFont="1" applyFill="1" applyBorder="1" applyAlignment="1">
      <alignment horizontal="center" vertical="center"/>
    </xf>
    <xf numFmtId="192" fontId="58" fillId="0" borderId="4" xfId="0" applyNumberFormat="1" applyFont="1" applyFill="1" applyBorder="1" applyAlignment="1" applyProtection="1">
      <alignment horizontal="center" vertical="center"/>
    </xf>
    <xf numFmtId="192" fontId="58" fillId="0" borderId="1" xfId="0" applyNumberFormat="1" applyFont="1" applyFill="1" applyBorder="1" applyAlignment="1" applyProtection="1">
      <alignment horizontal="center" vertical="center"/>
    </xf>
    <xf numFmtId="193" fontId="58" fillId="0" borderId="4" xfId="0" applyNumberFormat="1" applyFont="1" applyFill="1" applyBorder="1" applyAlignment="1" applyProtection="1">
      <alignment horizontal="center" vertical="center"/>
    </xf>
    <xf numFmtId="193" fontId="58" fillId="0" borderId="1" xfId="0" applyNumberFormat="1" applyFont="1" applyFill="1" applyBorder="1" applyAlignment="1" applyProtection="1">
      <alignment horizontal="center" vertical="center"/>
    </xf>
    <xf numFmtId="178" fontId="58" fillId="4" borderId="4" xfId="0" applyNumberFormat="1" applyFont="1" applyFill="1" applyBorder="1" applyAlignment="1">
      <alignment horizontal="center" vertical="center"/>
    </xf>
    <xf numFmtId="178" fontId="58" fillId="4" borderId="1" xfId="0" applyNumberFormat="1" applyFont="1" applyFill="1" applyBorder="1" applyAlignment="1">
      <alignment horizontal="center" vertical="center"/>
    </xf>
    <xf numFmtId="178" fontId="5" fillId="4" borderId="1" xfId="0" applyNumberFormat="1" applyFont="1" applyFill="1" applyBorder="1" applyAlignment="1">
      <alignment horizontal="center" vertical="center"/>
    </xf>
    <xf numFmtId="178" fontId="5" fillId="4" borderId="22" xfId="0" applyNumberFormat="1" applyFont="1" applyFill="1" applyBorder="1" applyAlignment="1">
      <alignment horizontal="center" vertical="center"/>
    </xf>
    <xf numFmtId="1" fontId="5" fillId="4" borderId="22" xfId="0" applyNumberFormat="1" applyFont="1" applyFill="1" applyBorder="1" applyAlignment="1">
      <alignment horizontal="center" vertical="center"/>
    </xf>
    <xf numFmtId="1" fontId="5" fillId="4" borderId="36" xfId="0" applyNumberFormat="1" applyFont="1" applyFill="1" applyBorder="1" applyAlignment="1">
      <alignment horizontal="center" vertical="center"/>
    </xf>
    <xf numFmtId="178" fontId="58" fillId="3" borderId="21" xfId="0" applyNumberFormat="1" applyFont="1" applyFill="1" applyBorder="1" applyAlignment="1">
      <alignment horizontal="center" vertical="center"/>
    </xf>
    <xf numFmtId="178" fontId="58" fillId="3" borderId="52" xfId="0" applyNumberFormat="1" applyFont="1" applyFill="1" applyBorder="1" applyAlignment="1">
      <alignment horizontal="center" vertical="center"/>
    </xf>
    <xf numFmtId="180" fontId="58" fillId="3" borderId="4" xfId="0" applyNumberFormat="1" applyFont="1" applyFill="1" applyBorder="1" applyAlignment="1">
      <alignment horizontal="center" vertical="center"/>
    </xf>
    <xf numFmtId="180" fontId="58" fillId="3" borderId="1" xfId="0" applyNumberFormat="1" applyFont="1" applyFill="1" applyBorder="1" applyAlignment="1">
      <alignment horizontal="center" vertical="center"/>
    </xf>
    <xf numFmtId="183" fontId="58" fillId="3" borderId="4" xfId="0" applyNumberFormat="1" applyFont="1" applyFill="1" applyBorder="1" applyAlignment="1">
      <alignment horizontal="center" vertical="center"/>
    </xf>
    <xf numFmtId="183" fontId="58" fillId="3" borderId="1" xfId="0" applyNumberFormat="1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79" fontId="58" fillId="3" borderId="4" xfId="0" applyNumberFormat="1" applyFont="1" applyFill="1" applyBorder="1" applyAlignment="1">
      <alignment horizontal="center" vertical="center"/>
    </xf>
    <xf numFmtId="179" fontId="58" fillId="3" borderId="1" xfId="0" applyNumberFormat="1" applyFont="1" applyFill="1" applyBorder="1" applyAlignment="1">
      <alignment horizontal="center" vertical="center"/>
    </xf>
    <xf numFmtId="177" fontId="58" fillId="3" borderId="4" xfId="0" applyNumberFormat="1" applyFont="1" applyFill="1" applyBorder="1" applyAlignment="1">
      <alignment horizontal="center" vertical="center"/>
    </xf>
    <xf numFmtId="177" fontId="58" fillId="3" borderId="1" xfId="0" applyNumberFormat="1" applyFont="1" applyFill="1" applyBorder="1" applyAlignment="1">
      <alignment horizontal="center" vertical="center"/>
    </xf>
    <xf numFmtId="193" fontId="5" fillId="0" borderId="52" xfId="0" applyNumberFormat="1" applyFont="1" applyFill="1" applyBorder="1" applyAlignment="1" applyProtection="1">
      <alignment horizontal="center" vertical="center"/>
    </xf>
    <xf numFmtId="193" fontId="5" fillId="0" borderId="26" xfId="0" applyNumberFormat="1" applyFont="1" applyFill="1" applyBorder="1" applyAlignment="1" applyProtection="1">
      <alignment horizontal="center" vertical="center"/>
    </xf>
    <xf numFmtId="192" fontId="5" fillId="0" borderId="52" xfId="0" applyNumberFormat="1" applyFont="1" applyFill="1" applyBorder="1" applyAlignment="1" applyProtection="1">
      <alignment horizontal="center" vertical="center"/>
    </xf>
    <xf numFmtId="192" fontId="5" fillId="0" borderId="26" xfId="0" applyNumberFormat="1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92" fontId="58" fillId="3" borderId="4" xfId="0" applyNumberFormat="1" applyFont="1" applyFill="1" applyBorder="1" applyAlignment="1">
      <alignment horizontal="center" vertical="center"/>
    </xf>
    <xf numFmtId="192" fontId="58" fillId="3" borderId="1" xfId="0" applyNumberFormat="1" applyFont="1" applyFill="1" applyBorder="1" applyAlignment="1">
      <alignment horizontal="center" vertical="center"/>
    </xf>
    <xf numFmtId="1" fontId="58" fillId="3" borderId="4" xfId="0" applyNumberFormat="1" applyFont="1" applyFill="1" applyBorder="1" applyAlignment="1">
      <alignment horizontal="center" vertical="center"/>
    </xf>
    <xf numFmtId="1" fontId="58" fillId="3" borderId="1" xfId="0" applyNumberFormat="1" applyFont="1" applyFill="1" applyBorder="1" applyAlignment="1">
      <alignment horizontal="center" vertical="center"/>
    </xf>
    <xf numFmtId="178" fontId="5" fillId="4" borderId="26" xfId="0" applyNumberFormat="1" applyFont="1" applyFill="1" applyBorder="1" applyAlignment="1">
      <alignment horizontal="center" vertical="center"/>
    </xf>
    <xf numFmtId="178" fontId="5" fillId="4" borderId="53" xfId="0" applyNumberFormat="1" applyFont="1" applyFill="1" applyBorder="1" applyAlignment="1">
      <alignment horizontal="center" vertical="center"/>
    </xf>
    <xf numFmtId="192" fontId="5" fillId="4" borderId="22" xfId="0" applyNumberFormat="1" applyFont="1" applyFill="1" applyBorder="1" applyAlignment="1">
      <alignment horizontal="center" vertical="center"/>
    </xf>
    <xf numFmtId="192" fontId="5" fillId="4" borderId="36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 applyProtection="1">
      <alignment horizontal="center" vertical="center"/>
    </xf>
    <xf numFmtId="178" fontId="5" fillId="0" borderId="23" xfId="0" applyNumberFormat="1" applyFont="1" applyFill="1" applyBorder="1" applyAlignment="1" applyProtection="1">
      <alignment horizontal="center" vertical="center"/>
    </xf>
    <xf numFmtId="178" fontId="5" fillId="0" borderId="66" xfId="0" applyNumberFormat="1" applyFont="1" applyFill="1" applyBorder="1" applyAlignment="1" applyProtection="1">
      <alignment horizontal="center" vertical="center"/>
    </xf>
    <xf numFmtId="180" fontId="2" fillId="0" borderId="22" xfId="0" applyNumberFormat="1" applyFont="1" applyFill="1" applyBorder="1" applyAlignment="1" applyProtection="1">
      <alignment horizontal="center" vertical="center"/>
    </xf>
    <xf numFmtId="180" fontId="2" fillId="0" borderId="23" xfId="0" applyNumberFormat="1" applyFont="1" applyFill="1" applyBorder="1" applyAlignment="1" applyProtection="1">
      <alignment horizontal="center" vertical="center"/>
    </xf>
    <xf numFmtId="178" fontId="5" fillId="0" borderId="1" xfId="0" applyNumberFormat="1" applyFont="1" applyFill="1" applyBorder="1" applyAlignment="1" applyProtection="1">
      <alignment horizontal="center" vertical="center"/>
    </xf>
    <xf numFmtId="178" fontId="5" fillId="0" borderId="52" xfId="0" applyNumberFormat="1" applyFont="1" applyFill="1" applyBorder="1" applyAlignment="1" applyProtection="1">
      <alignment horizontal="center" vertical="center"/>
    </xf>
    <xf numFmtId="178" fontId="5" fillId="0" borderId="26" xfId="0" applyNumberFormat="1" applyFont="1" applyFill="1" applyBorder="1" applyAlignment="1" applyProtection="1">
      <alignment horizontal="center" vertical="center"/>
    </xf>
    <xf numFmtId="178" fontId="5" fillId="0" borderId="74" xfId="0" applyNumberFormat="1" applyFont="1" applyFill="1" applyBorder="1" applyAlignment="1" applyProtection="1">
      <alignment horizontal="center" vertical="center"/>
    </xf>
    <xf numFmtId="198" fontId="5" fillId="0" borderId="1" xfId="0" applyNumberFormat="1" applyFont="1" applyFill="1" applyBorder="1" applyAlignment="1" applyProtection="1">
      <alignment horizontal="center" vertical="center"/>
    </xf>
    <xf numFmtId="198" fontId="5" fillId="0" borderId="22" xfId="0" applyNumberFormat="1" applyFont="1" applyFill="1" applyBorder="1" applyAlignment="1" applyProtection="1">
      <alignment horizontal="center" vertical="center"/>
    </xf>
    <xf numFmtId="198" fontId="5" fillId="0" borderId="66" xfId="0" applyNumberFormat="1" applyFont="1" applyFill="1" applyBorder="1" applyAlignment="1" applyProtection="1">
      <alignment horizontal="center" vertical="center"/>
    </xf>
    <xf numFmtId="199" fontId="7" fillId="0" borderId="1" xfId="0" applyNumberFormat="1" applyFont="1" applyFill="1" applyBorder="1" applyAlignment="1" applyProtection="1">
      <alignment horizontal="center" vertical="center"/>
    </xf>
    <xf numFmtId="194" fontId="5" fillId="0" borderId="1" xfId="0" applyNumberFormat="1" applyFont="1" applyFill="1" applyBorder="1" applyAlignment="1" applyProtection="1">
      <alignment horizontal="center" vertical="center"/>
    </xf>
    <xf numFmtId="194" fontId="5" fillId="0" borderId="22" xfId="0" applyNumberFormat="1" applyFont="1" applyFill="1" applyBorder="1" applyAlignment="1" applyProtection="1">
      <alignment horizontal="center" vertical="center"/>
    </xf>
    <xf numFmtId="194" fontId="5" fillId="0" borderId="66" xfId="0" applyNumberFormat="1" applyFont="1" applyFill="1" applyBorder="1" applyAlignment="1" applyProtection="1">
      <alignment horizontal="center" vertical="center"/>
    </xf>
    <xf numFmtId="196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61" borderId="34" xfId="0" applyFont="1" applyFill="1" applyBorder="1" applyAlignment="1" applyProtection="1">
      <alignment horizontal="center" vertical="center"/>
    </xf>
    <xf numFmtId="0" fontId="2" fillId="61" borderId="35" xfId="0" applyFont="1" applyFill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194" fontId="5" fillId="0" borderId="26" xfId="0" applyNumberFormat="1" applyFont="1" applyFill="1" applyBorder="1" applyAlignment="1" applyProtection="1">
      <alignment horizontal="center" vertical="center"/>
    </xf>
    <xf numFmtId="194" fontId="5" fillId="0" borderId="74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28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left" vertical="center"/>
    </xf>
    <xf numFmtId="0" fontId="4" fillId="3" borderId="32" xfId="0" applyFont="1" applyFill="1" applyBorder="1" applyAlignment="1" applyProtection="1">
      <alignment horizontal="left" vertical="center"/>
    </xf>
    <xf numFmtId="0" fontId="4" fillId="3" borderId="38" xfId="0" applyFont="1" applyFill="1" applyBorder="1" applyAlignment="1" applyProtection="1">
      <alignment horizontal="left" vertical="center"/>
    </xf>
    <xf numFmtId="0" fontId="4" fillId="3" borderId="34" xfId="0" applyFont="1" applyFill="1" applyBorder="1" applyAlignment="1" applyProtection="1">
      <alignment horizontal="left" vertical="center"/>
    </xf>
    <xf numFmtId="0" fontId="4" fillId="3" borderId="40" xfId="0" applyFont="1" applyFill="1" applyBorder="1" applyAlignment="1" applyProtection="1">
      <alignment horizontal="left" vertical="center"/>
    </xf>
    <xf numFmtId="0" fontId="4" fillId="3" borderId="4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 wrapText="1"/>
    </xf>
    <xf numFmtId="0" fontId="5" fillId="2" borderId="72" xfId="0" applyFont="1" applyFill="1" applyBorder="1" applyAlignment="1" applyProtection="1">
      <alignment horizontal="center" vertical="center" wrapText="1"/>
    </xf>
    <xf numFmtId="0" fontId="5" fillId="2" borderId="73" xfId="0" applyFont="1" applyFill="1" applyBorder="1" applyAlignment="1" applyProtection="1">
      <alignment horizontal="center" vertical="center" wrapText="1"/>
    </xf>
    <xf numFmtId="0" fontId="5" fillId="2" borderId="71" xfId="0" applyFont="1" applyFill="1" applyBorder="1" applyAlignment="1" applyProtection="1">
      <alignment horizontal="center" vertical="center"/>
    </xf>
    <xf numFmtId="180" fontId="7" fillId="0" borderId="1" xfId="0" applyNumberFormat="1" applyFont="1" applyFill="1" applyBorder="1" applyAlignment="1" applyProtection="1">
      <alignment horizontal="center" vertical="center"/>
    </xf>
    <xf numFmtId="178" fontId="5" fillId="0" borderId="16" xfId="0" applyNumberFormat="1" applyFont="1" applyFill="1" applyBorder="1" applyAlignment="1" applyProtection="1">
      <alignment horizontal="center" vertical="center"/>
    </xf>
    <xf numFmtId="178" fontId="5" fillId="0" borderId="31" xfId="0" applyNumberFormat="1" applyFont="1" applyFill="1" applyBorder="1" applyAlignment="1" applyProtection="1">
      <alignment horizontal="center" vertical="center"/>
    </xf>
    <xf numFmtId="178" fontId="5" fillId="0" borderId="38" xfId="0" applyNumberFormat="1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180" fontId="7" fillId="0" borderId="16" xfId="0" applyNumberFormat="1" applyFont="1" applyFill="1" applyBorder="1" applyAlignment="1" applyProtection="1">
      <alignment horizontal="center" vertical="center"/>
    </xf>
    <xf numFmtId="196" fontId="5" fillId="0" borderId="22" xfId="0" applyNumberFormat="1" applyFont="1" applyFill="1" applyBorder="1" applyAlignment="1" applyProtection="1">
      <alignment horizontal="center" vertical="center"/>
    </xf>
    <xf numFmtId="196" fontId="5" fillId="0" borderId="66" xfId="0" applyNumberFormat="1" applyFont="1" applyFill="1" applyBorder="1" applyAlignment="1" applyProtection="1">
      <alignment horizontal="center" vertical="center"/>
    </xf>
    <xf numFmtId="178" fontId="7" fillId="0" borderId="11" xfId="0" applyNumberFormat="1" applyFont="1" applyFill="1" applyBorder="1" applyAlignment="1" applyProtection="1">
      <alignment horizontal="center" vertical="center"/>
    </xf>
    <xf numFmtId="178" fontId="5" fillId="0" borderId="34" xfId="0" applyNumberFormat="1" applyFont="1" applyFill="1" applyBorder="1" applyAlignment="1" applyProtection="1">
      <alignment horizontal="center" vertical="center"/>
    </xf>
    <xf numFmtId="178" fontId="5" fillId="0" borderId="41" xfId="0" applyNumberFormat="1" applyFont="1" applyFill="1" applyBorder="1" applyAlignment="1" applyProtection="1">
      <alignment horizontal="center" vertical="center"/>
    </xf>
    <xf numFmtId="196" fontId="5" fillId="0" borderId="11" xfId="0" applyNumberFormat="1" applyFont="1" applyFill="1" applyBorder="1" applyAlignment="1" applyProtection="1">
      <alignment horizontal="center" vertical="center"/>
    </xf>
    <xf numFmtId="196" fontId="5" fillId="0" borderId="34" xfId="0" applyNumberFormat="1" applyFont="1" applyFill="1" applyBorder="1" applyAlignment="1" applyProtection="1">
      <alignment horizontal="center" vertical="center"/>
    </xf>
    <xf numFmtId="196" fontId="5" fillId="0" borderId="41" xfId="0" applyNumberFormat="1" applyFont="1" applyFill="1" applyBorder="1" applyAlignment="1" applyProtection="1">
      <alignment horizontal="center" vertical="center"/>
    </xf>
    <xf numFmtId="192" fontId="7" fillId="0" borderId="1" xfId="0" applyNumberFormat="1" applyFont="1" applyFill="1" applyBorder="1" applyAlignment="1" applyProtection="1">
      <alignment horizontal="center" vertical="center"/>
    </xf>
    <xf numFmtId="195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99" fontId="7" fillId="0" borderId="11" xfId="0" applyNumberFormat="1" applyFont="1" applyFill="1" applyBorder="1" applyAlignment="1" applyProtection="1">
      <alignment horizontal="center" vertical="center"/>
    </xf>
    <xf numFmtId="180" fontId="2" fillId="0" borderId="16" xfId="0" applyNumberFormat="1" applyFont="1" applyFill="1" applyBorder="1" applyAlignment="1" applyProtection="1">
      <alignment horizontal="center" vertical="center"/>
    </xf>
    <xf numFmtId="180" fontId="2" fillId="0" borderId="1" xfId="0" applyNumberFormat="1" applyFont="1" applyFill="1" applyBorder="1" applyAlignment="1" applyProtection="1">
      <alignment horizontal="center" vertical="center"/>
    </xf>
    <xf numFmtId="187" fontId="7" fillId="0" borderId="22" xfId="0" applyNumberFormat="1" applyFont="1" applyFill="1" applyBorder="1" applyAlignment="1" applyProtection="1">
      <alignment horizontal="center" vertical="center"/>
    </xf>
    <xf numFmtId="187" fontId="7" fillId="0" borderId="23" xfId="0" applyNumberFormat="1" applyFont="1" applyFill="1" applyBorder="1" applyAlignment="1" applyProtection="1">
      <alignment horizontal="center" vertical="center"/>
    </xf>
    <xf numFmtId="0" fontId="3" fillId="61" borderId="86" xfId="0" applyFont="1" applyFill="1" applyBorder="1" applyAlignment="1" applyProtection="1">
      <alignment horizontal="center" vertical="center"/>
    </xf>
    <xf numFmtId="0" fontId="3" fillId="61" borderId="87" xfId="0" applyFont="1" applyFill="1" applyBorder="1" applyAlignment="1" applyProtection="1">
      <alignment horizontal="center" vertical="center"/>
    </xf>
    <xf numFmtId="0" fontId="2" fillId="61" borderId="3" xfId="0" applyFont="1" applyFill="1" applyBorder="1" applyAlignment="1" applyProtection="1">
      <alignment horizontal="center" vertical="center"/>
    </xf>
    <xf numFmtId="0" fontId="2" fillId="61" borderId="16" xfId="0" applyFont="1" applyFill="1" applyBorder="1" applyAlignment="1" applyProtection="1">
      <alignment horizontal="center" vertical="center"/>
    </xf>
    <xf numFmtId="0" fontId="2" fillId="61" borderId="31" xfId="0" applyFont="1" applyFill="1" applyBorder="1" applyAlignment="1" applyProtection="1">
      <alignment horizontal="center" vertical="center"/>
    </xf>
    <xf numFmtId="0" fontId="2" fillId="61" borderId="32" xfId="0" applyFont="1" applyFill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6" borderId="1" xfId="1" applyFont="1" applyFill="1" applyBorder="1" applyAlignment="1" applyProtection="1">
      <alignment horizontal="center" vertical="center"/>
    </xf>
    <xf numFmtId="0" fontId="3" fillId="5" borderId="1" xfId="1" applyFont="1" applyFill="1" applyBorder="1" applyAlignment="1" applyProtection="1">
      <alignment horizontal="center" vertical="center"/>
    </xf>
    <xf numFmtId="0" fontId="3" fillId="6" borderId="22" xfId="1" applyFont="1" applyFill="1" applyBorder="1" applyAlignment="1" applyProtection="1">
      <alignment horizontal="center" vertical="center"/>
    </xf>
    <xf numFmtId="0" fontId="3" fillId="6" borderId="23" xfId="1" applyFont="1" applyFill="1" applyBorder="1" applyAlignment="1" applyProtection="1">
      <alignment horizontal="center" vertical="center"/>
    </xf>
    <xf numFmtId="0" fontId="9" fillId="6" borderId="36" xfId="1" applyFill="1" applyBorder="1" applyAlignment="1" applyProtection="1">
      <alignment horizontal="center" vertical="center"/>
    </xf>
    <xf numFmtId="0" fontId="9" fillId="6" borderId="23" xfId="1" applyFill="1" applyBorder="1" applyAlignment="1" applyProtection="1">
      <alignment horizontal="center" vertical="center"/>
    </xf>
    <xf numFmtId="0" fontId="3" fillId="6" borderId="36" xfId="1" applyFont="1" applyFill="1" applyBorder="1" applyAlignment="1" applyProtection="1">
      <alignment horizontal="center" vertical="center"/>
    </xf>
    <xf numFmtId="0" fontId="3" fillId="6" borderId="51" xfId="1" applyFont="1" applyFill="1" applyBorder="1" applyAlignment="1" applyProtection="1">
      <alignment horizontal="center" vertical="center"/>
    </xf>
    <xf numFmtId="0" fontId="9" fillId="6" borderId="52" xfId="1" applyFill="1" applyBorder="1" applyAlignment="1" applyProtection="1">
      <alignment horizontal="center" vertical="center"/>
    </xf>
    <xf numFmtId="0" fontId="10" fillId="0" borderId="13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center" vertical="center"/>
    </xf>
    <xf numFmtId="0" fontId="10" fillId="0" borderId="15" xfId="1" applyFont="1" applyFill="1" applyBorder="1" applyAlignment="1" applyProtection="1">
      <alignment horizontal="center" vertical="center"/>
    </xf>
    <xf numFmtId="0" fontId="4" fillId="6" borderId="3" xfId="1" applyFont="1" applyFill="1" applyBorder="1" applyAlignment="1" applyProtection="1">
      <alignment horizontal="center" vertical="center"/>
    </xf>
    <xf numFmtId="0" fontId="4" fillId="6" borderId="5" xfId="1" applyFont="1" applyFill="1" applyBorder="1" applyAlignment="1" applyProtection="1">
      <alignment horizontal="center" vertical="center"/>
    </xf>
    <xf numFmtId="0" fontId="4" fillId="0" borderId="3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5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2" fillId="0" borderId="14" xfId="1" applyFont="1" applyBorder="1" applyAlignment="1" applyProtection="1">
      <alignment horizontal="center" vertical="center"/>
    </xf>
    <xf numFmtId="0" fontId="12" fillId="0" borderId="15" xfId="1" applyFont="1" applyBorder="1" applyAlignment="1" applyProtection="1">
      <alignment horizontal="center" vertical="center"/>
    </xf>
    <xf numFmtId="0" fontId="4" fillId="0" borderId="32" xfId="1" applyFont="1" applyFill="1" applyBorder="1" applyAlignment="1" applyProtection="1">
      <alignment horizontal="center" vertical="center"/>
    </xf>
    <xf numFmtId="0" fontId="4" fillId="0" borderId="38" xfId="1" applyFont="1" applyFill="1" applyBorder="1" applyAlignment="1" applyProtection="1">
      <alignment horizontal="center" vertical="center"/>
    </xf>
    <xf numFmtId="178" fontId="4" fillId="3" borderId="40" xfId="1" applyNumberFormat="1" applyFont="1" applyFill="1" applyBorder="1" applyAlignment="1" applyProtection="1">
      <alignment horizontal="center" vertical="center"/>
    </xf>
    <xf numFmtId="178" fontId="9" fillId="3" borderId="41" xfId="1" applyNumberForma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4" fillId="6" borderId="20" xfId="1" applyFont="1" applyFill="1" applyBorder="1" applyAlignment="1" applyProtection="1">
      <alignment horizontal="center" vertical="center"/>
    </xf>
    <xf numFmtId="0" fontId="4" fillId="6" borderId="42" xfId="1" applyFont="1" applyFill="1" applyBorder="1" applyAlignment="1" applyProtection="1">
      <alignment horizontal="center" vertical="center"/>
    </xf>
    <xf numFmtId="0" fontId="4" fillId="6" borderId="45" xfId="1" applyFont="1" applyFill="1" applyBorder="1" applyAlignment="1" applyProtection="1">
      <alignment horizontal="center" vertical="center"/>
    </xf>
    <xf numFmtId="0" fontId="4" fillId="6" borderId="55" xfId="1" applyFont="1" applyFill="1" applyBorder="1" applyAlignment="1" applyProtection="1">
      <alignment horizontal="center" vertical="center"/>
    </xf>
    <xf numFmtId="0" fontId="4" fillId="6" borderId="50" xfId="1" applyFont="1" applyFill="1" applyBorder="1" applyAlignment="1" applyProtection="1">
      <alignment horizontal="center" vertical="center"/>
    </xf>
    <xf numFmtId="0" fontId="4" fillId="6" borderId="52" xfId="1" applyFont="1" applyFill="1" applyBorder="1" applyAlignment="1" applyProtection="1">
      <alignment horizontal="center" vertical="center"/>
    </xf>
    <xf numFmtId="0" fontId="4" fillId="6" borderId="55" xfId="1" applyFont="1" applyFill="1" applyBorder="1" applyAlignment="1" applyProtection="1">
      <alignment horizontal="center" vertical="center" wrapText="1"/>
    </xf>
    <xf numFmtId="0" fontId="4" fillId="6" borderId="50" xfId="1" applyFont="1" applyFill="1" applyBorder="1" applyAlignment="1" applyProtection="1">
      <alignment horizontal="center" vertical="center" wrapText="1"/>
    </xf>
    <xf numFmtId="0" fontId="4" fillId="6" borderId="52" xfId="1" applyFont="1" applyFill="1" applyBorder="1" applyAlignment="1" applyProtection="1">
      <alignment horizontal="center" vertical="center" wrapText="1"/>
    </xf>
    <xf numFmtId="0" fontId="4" fillId="6" borderId="29" xfId="1" applyFont="1" applyFill="1" applyBorder="1" applyAlignment="1" applyProtection="1">
      <alignment horizontal="center" vertical="center" wrapText="1"/>
    </xf>
    <xf numFmtId="0" fontId="4" fillId="6" borderId="69" xfId="1" applyFont="1" applyFill="1" applyBorder="1" applyAlignment="1" applyProtection="1">
      <alignment horizontal="center" vertical="center" wrapText="1"/>
    </xf>
    <xf numFmtId="0" fontId="4" fillId="6" borderId="30" xfId="1" applyFont="1" applyFill="1" applyBorder="1" applyAlignment="1" applyProtection="1">
      <alignment horizontal="center" vertical="center" wrapText="1"/>
    </xf>
    <xf numFmtId="0" fontId="3" fillId="6" borderId="52" xfId="1" applyFont="1" applyFill="1" applyBorder="1" applyAlignment="1" applyProtection="1">
      <alignment horizontal="center" vertical="center"/>
    </xf>
  </cellXfs>
  <cellStyles count="195">
    <cellStyle name="19990216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강조색1 2" xfId="90"/>
    <cellStyle name="20% - 강조색1 3" xfId="91"/>
    <cellStyle name="20% - 강조색1 4" xfId="92"/>
    <cellStyle name="20% - 강조색1 5" xfId="93"/>
    <cellStyle name="20% - 강조색2 2" xfId="94"/>
    <cellStyle name="20% - 강조색2 3" xfId="95"/>
    <cellStyle name="20% - 강조색2 4" xfId="96"/>
    <cellStyle name="20% - 강조색2 5" xfId="97"/>
    <cellStyle name="20% - 강조색3 2" xfId="98"/>
    <cellStyle name="20% - 강조색3 3" xfId="99"/>
    <cellStyle name="20% - 강조색3 4" xfId="100"/>
    <cellStyle name="20% - 강조색3 5" xfId="101"/>
    <cellStyle name="20% - 강조색4 2" xfId="102"/>
    <cellStyle name="20% - 강조색4 3" xfId="103"/>
    <cellStyle name="20% - 강조색4 4" xfId="104"/>
    <cellStyle name="20% - 강조색4 5" xfId="105"/>
    <cellStyle name="20% - 강조색5 2" xfId="106"/>
    <cellStyle name="20% - 강조색5 3" xfId="107"/>
    <cellStyle name="20% - 강조색5 4" xfId="108"/>
    <cellStyle name="20% - 강조색5 5" xfId="109"/>
    <cellStyle name="20% - 강조색6 2" xfId="110"/>
    <cellStyle name="20% - 강조색6 3" xfId="111"/>
    <cellStyle name="20% - 강조색6 4" xfId="112"/>
    <cellStyle name="20% - 강조색6 5" xfId="113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40% - 강조색1 2" xfId="114"/>
    <cellStyle name="40% - 강조색1 3" xfId="115"/>
    <cellStyle name="40% - 강조색1 4" xfId="116"/>
    <cellStyle name="40% - 강조색1 5" xfId="117"/>
    <cellStyle name="40% - 강조색2 2" xfId="118"/>
    <cellStyle name="40% - 강조색2 3" xfId="119"/>
    <cellStyle name="40% - 강조색2 4" xfId="120"/>
    <cellStyle name="40% - 강조색2 5" xfId="121"/>
    <cellStyle name="40% - 강조색3 2" xfId="122"/>
    <cellStyle name="40% - 강조색3 3" xfId="123"/>
    <cellStyle name="40% - 강조색3 4" xfId="124"/>
    <cellStyle name="40% - 강조색3 5" xfId="125"/>
    <cellStyle name="40% - 강조색4 2" xfId="126"/>
    <cellStyle name="40% - 강조색4 3" xfId="127"/>
    <cellStyle name="40% - 강조색4 4" xfId="128"/>
    <cellStyle name="40% - 강조색4 5" xfId="129"/>
    <cellStyle name="40% - 강조색5 2" xfId="130"/>
    <cellStyle name="40% - 강조색5 3" xfId="131"/>
    <cellStyle name="40% - 강조색5 4" xfId="132"/>
    <cellStyle name="40% - 강조색5 5" xfId="133"/>
    <cellStyle name="40% - 강조색6 2" xfId="134"/>
    <cellStyle name="40% - 강조색6 3" xfId="135"/>
    <cellStyle name="40% - 강조색6 4" xfId="136"/>
    <cellStyle name="40% - 강조색6 5" xfId="13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60% - 강조색1 2" xfId="138"/>
    <cellStyle name="60% - 강조색2 2" xfId="139"/>
    <cellStyle name="60% - 강조색3 2" xfId="140"/>
    <cellStyle name="60% - 강조색4 2" xfId="141"/>
    <cellStyle name="60% - 강조색5 2" xfId="142"/>
    <cellStyle name="60% - 강조색6 2" xfId="14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blank" xfId="67"/>
    <cellStyle name="Calculation 2" xfId="31"/>
    <cellStyle name="Check Cell 2" xfId="32"/>
    <cellStyle name="Comma [0]_ SG&amp;A Bridge " xfId="33"/>
    <cellStyle name="Comma_ SG&amp;A Bridge " xfId="34"/>
    <cellStyle name="Currency [0]_ SG&amp;A Bridge " xfId="35"/>
    <cellStyle name="Currency_ SG&amp;A Bridge " xfId="36"/>
    <cellStyle name="Explanatory Text 2" xfId="37"/>
    <cellStyle name="Good 2" xfId="38"/>
    <cellStyle name="Grey" xfId="68"/>
    <cellStyle name="Header" xfId="69"/>
    <cellStyle name="Header1" xfId="70"/>
    <cellStyle name="Header2" xfId="71"/>
    <cellStyle name="Header2 2" xfId="72"/>
    <cellStyle name="Header2 2 2" xfId="144"/>
    <cellStyle name="Header2 2_실내 열교환기" xfId="145"/>
    <cellStyle name="Header2 3" xfId="146"/>
    <cellStyle name="Header2 3 2" xfId="147"/>
    <cellStyle name="Header2 3_실내 열교환기" xfId="148"/>
    <cellStyle name="Header2 4" xfId="149"/>
    <cellStyle name="Header2_실내 열교환기" xfId="150"/>
    <cellStyle name="Heading 1 2" xfId="39"/>
    <cellStyle name="Heading 2 2" xfId="40"/>
    <cellStyle name="Heading 3 2" xfId="41"/>
    <cellStyle name="Heading 4 2" xfId="42"/>
    <cellStyle name="Input [yellow]" xfId="73"/>
    <cellStyle name="Input [yellow] 2" xfId="151"/>
    <cellStyle name="Input 2" xfId="43"/>
    <cellStyle name="Linked Cell 2" xfId="44"/>
    <cellStyle name="Neutral 2" xfId="45"/>
    <cellStyle name="Normal" xfId="74"/>
    <cellStyle name="Normal - Style1" xfId="46"/>
    <cellStyle name="Normal - Style1 2" xfId="75"/>
    <cellStyle name="Normal - Style2" xfId="47"/>
    <cellStyle name="Normal - Style3" xfId="48"/>
    <cellStyle name="Normal - Style4" xfId="49"/>
    <cellStyle name="Normal - Style5" xfId="50"/>
    <cellStyle name="Normal - Style6" xfId="51"/>
    <cellStyle name="Normal - Style7" xfId="52"/>
    <cellStyle name="Normal - Style8" xfId="53"/>
    <cellStyle name="Normal 2" xfId="54"/>
    <cellStyle name="Normal_ SG&amp;A Bridge " xfId="55"/>
    <cellStyle name="Note 2" xfId="56"/>
    <cellStyle name="Output 2" xfId="57"/>
    <cellStyle name="Percent (0)" xfId="76"/>
    <cellStyle name="Percent [2]" xfId="77"/>
    <cellStyle name="Percent 2" xfId="58"/>
    <cellStyle name="Percent_Sheet1 (2)" xfId="78"/>
    <cellStyle name="Title 2" xfId="59"/>
    <cellStyle name="Total 2" xfId="60"/>
    <cellStyle name="Warning Text 2" xfId="61"/>
    <cellStyle name="강조색1 2" xfId="152"/>
    <cellStyle name="강조색2 2" xfId="153"/>
    <cellStyle name="강조색3 2" xfId="154"/>
    <cellStyle name="강조색4 2" xfId="155"/>
    <cellStyle name="강조색5 2" xfId="156"/>
    <cellStyle name="강조색6 2" xfId="157"/>
    <cellStyle name="경고문 2" xfId="158"/>
    <cellStyle name="계산 2" xfId="159"/>
    <cellStyle name="나쁨 2" xfId="160"/>
    <cellStyle name="메모 2" xfId="79"/>
    <cellStyle name="메모 2 2" xfId="161"/>
    <cellStyle name="메모 2 3" xfId="162"/>
    <cellStyle name="메모 2 4" xfId="163"/>
    <cellStyle name="메모 3" xfId="164"/>
    <cellStyle name="메모 4" xfId="165"/>
    <cellStyle name="메모 5" xfId="166"/>
    <cellStyle name="메모 6" xfId="167"/>
    <cellStyle name="백분율" xfId="4" builtinId="5"/>
    <cellStyle name="백분율 2" xfId="62"/>
    <cellStyle name="백분율 2 2" xfId="80"/>
    <cellStyle name="백분율 3" xfId="81"/>
    <cellStyle name="백분율 3 2" xfId="168"/>
    <cellStyle name="백분율 3 3" xfId="169"/>
    <cellStyle name="백분율 3 4" xfId="170"/>
    <cellStyle name="백분율 4" xfId="171"/>
    <cellStyle name="백분율 5" xfId="172"/>
    <cellStyle name="백분율 6" xfId="173"/>
    <cellStyle name="보통 2" xfId="174"/>
    <cellStyle name="常规_110412_Gree_GREE 24K  Fresh wind _Gree实验结果(412)" xfId="2"/>
    <cellStyle name="설명 텍스트 2" xfId="175"/>
    <cellStyle name="셀 확인 2" xfId="176"/>
    <cellStyle name="쉼표 [0] 2" xfId="82"/>
    <cellStyle name="쉼표 [0] 2 2" xfId="177"/>
    <cellStyle name="쉼표 [0] 2 3" xfId="178"/>
    <cellStyle name="쉼표 [0] 2 4" xfId="179"/>
    <cellStyle name="쉼표 [0] 3" xfId="180"/>
    <cellStyle name="쉼표 [0] 4" xfId="181"/>
    <cellStyle name="쉼표 [0] 5" xfId="182"/>
    <cellStyle name="연결된 셀 2" xfId="183"/>
    <cellStyle name="요약 2" xfId="184"/>
    <cellStyle name="입력 2" xfId="185"/>
    <cellStyle name="제목 1 2" xfId="186"/>
    <cellStyle name="제목 2 2" xfId="187"/>
    <cellStyle name="제목 3 2" xfId="188"/>
    <cellStyle name="제목 4 2" xfId="189"/>
    <cellStyle name="좋음 2" xfId="190"/>
    <cellStyle name="지정되지 않음" xfId="83"/>
    <cellStyle name="출력 2" xfId="191"/>
    <cellStyle name="콤마 [0]_관리항목_업종별 " xfId="63"/>
    <cellStyle name="콤마_관리항목_업종별 " xfId="64"/>
    <cellStyle name="표준" xfId="0" builtinId="0"/>
    <cellStyle name="표준 2" xfId="1"/>
    <cellStyle name="표준 2 2" xfId="65"/>
    <cellStyle name="표준 2 3" xfId="66"/>
    <cellStyle name="표준 3" xfId="3"/>
    <cellStyle name="표준 3 2" xfId="84"/>
    <cellStyle name="표준 3 3" xfId="192"/>
    <cellStyle name="표준 3 4" xfId="193"/>
    <cellStyle name="표준 4" xfId="85"/>
    <cellStyle name="표준 4 2" xfId="86"/>
    <cellStyle name="표준 5" xfId="87"/>
    <cellStyle name="표준 6" xfId="88"/>
    <cellStyle name="표준 7" xfId="89"/>
    <cellStyle name="표준 8" xfId="1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25865448166129495"/>
          <c:w val="0.83152537182852138"/>
          <c:h val="0.62536575415119744"/>
        </c:manualLayout>
      </c:layout>
      <c:lineChart>
        <c:grouping val="standard"/>
        <c:varyColors val="0"/>
        <c:ser>
          <c:idx val="1"/>
          <c:order val="0"/>
          <c:tx>
            <c:v>최소운전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'가변용량(일반)'!$G$21:$G$35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C0-4310-915E-B5E6975C7EC0}"/>
            </c:ext>
          </c:extLst>
        </c:ser>
        <c:ser>
          <c:idx val="2"/>
          <c:order val="1"/>
          <c:tx>
            <c:v>중간운전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'가변용량(일반)'!$I$21:$I$35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C0-4310-915E-B5E6975C7EC0}"/>
            </c:ext>
          </c:extLst>
        </c:ser>
        <c:ser>
          <c:idx val="3"/>
          <c:order val="2"/>
          <c:tx>
            <c:v>정격운전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'가변용량(일반)'!$K$21:$K$35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C0-4310-915E-B5E6975C7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516928"/>
        <c:axId val="243518464"/>
      </c:lineChart>
      <c:catAx>
        <c:axId val="24351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518464"/>
        <c:crosses val="autoZero"/>
        <c:auto val="1"/>
        <c:lblAlgn val="ctr"/>
        <c:lblOffset val="100"/>
        <c:noMultiLvlLbl val="0"/>
      </c:catAx>
      <c:valAx>
        <c:axId val="24351846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43516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79876126595285"/>
          <c:y val="0.22397723273096609"/>
          <c:w val="0.79570137066200053"/>
          <c:h val="9.3265353325087244E-2"/>
        </c:manualLayout>
      </c:layout>
      <c:overlay val="0"/>
      <c:txPr>
        <a:bodyPr/>
        <a:lstStyle/>
        <a:p>
          <a:pPr>
            <a:defRPr sz="900"/>
          </a:pPr>
          <a:endParaRPr lang="ko-K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27402272497678398"/>
          <c:w val="0.84541426071741022"/>
          <c:h val="0.61079736220423519"/>
        </c:manualLayout>
      </c:layout>
      <c:lineChart>
        <c:grouping val="standard"/>
        <c:varyColors val="0"/>
        <c:ser>
          <c:idx val="1"/>
          <c:order val="0"/>
          <c:tx>
            <c:v>최소운전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'가변용량(일반)'!$H$21:$H$35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DB-4463-99E5-7D1CFBE0B5E9}"/>
            </c:ext>
          </c:extLst>
        </c:ser>
        <c:ser>
          <c:idx val="2"/>
          <c:order val="1"/>
          <c:tx>
            <c:v>중간운전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'가변용량(일반)'!$J$21:$J$35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DB-4463-99E5-7D1CFBE0B5E9}"/>
            </c:ext>
          </c:extLst>
        </c:ser>
        <c:ser>
          <c:idx val="3"/>
          <c:order val="2"/>
          <c:tx>
            <c:v>정격운전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'가변용량(일반)'!$L$21:$L$35</c:f>
              <c:numCache>
                <c:formatCode>0.0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DB-4463-99E5-7D1CFBE0B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39520"/>
        <c:axId val="244141056"/>
      </c:lineChart>
      <c:catAx>
        <c:axId val="2441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141056"/>
        <c:crosses val="autoZero"/>
        <c:auto val="1"/>
        <c:lblAlgn val="ctr"/>
        <c:lblOffset val="100"/>
        <c:noMultiLvlLbl val="0"/>
      </c:catAx>
      <c:valAx>
        <c:axId val="2441410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4413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8888888888889"/>
          <c:y val="0.26627918346531854"/>
          <c:w val="0.84257377976421532"/>
          <c:h val="9.62685490968082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30146600032089182"/>
          <c:w val="0.84521981627296594"/>
          <c:h val="0.58335408686012735"/>
        </c:manualLayout>
      </c:layout>
      <c:lineChart>
        <c:grouping val="standard"/>
        <c:varyColors val="0"/>
        <c:ser>
          <c:idx val="2"/>
          <c:order val="0"/>
          <c:tx>
            <c:v>EER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'가변용량(일반)'!$T$21:$T$35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46-4797-8AED-1931618D2C40}"/>
            </c:ext>
          </c:extLst>
        </c:ser>
        <c:ser>
          <c:idx val="3"/>
          <c:order val="1"/>
          <c:tx>
            <c:v>CSPF</c:v>
          </c:tx>
          <c:marker>
            <c:symbol val="none"/>
          </c:marker>
          <c:cat>
            <c:numRef>
              <c:f>'가변용량(일반)'!$D$21:$D$35</c:f>
              <c:numCache>
                <c:formatCode>General</c:formatCode>
                <c:ptCount val="15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</c:numCache>
            </c:numRef>
          </c:cat>
          <c:val>
            <c:numRef>
              <c:f>'가변용량(일반)'!$U$21:$U$34</c:f>
              <c:numCache>
                <c:formatCode>0.000_ 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46-4797-8AED-1931618D2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184960"/>
        <c:axId val="244186496"/>
      </c:lineChart>
      <c:catAx>
        <c:axId val="24418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186496"/>
        <c:crosses val="autoZero"/>
        <c:auto val="1"/>
        <c:lblAlgn val="ctr"/>
        <c:lblOffset val="100"/>
        <c:noMultiLvlLbl val="0"/>
      </c:catAx>
      <c:valAx>
        <c:axId val="244186496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441849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23753396178434"/>
          <c:y val="0.66004883974642958"/>
          <c:w val="0.27823233652615004"/>
          <c:h val="0.208927135460588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25865448166129495"/>
          <c:w val="0.83152537182852138"/>
          <c:h val="0.62536575415119744"/>
        </c:manualLayout>
      </c:layout>
      <c:lineChart>
        <c:grouping val="standard"/>
        <c:varyColors val="0"/>
        <c:ser>
          <c:idx val="1"/>
          <c:order val="0"/>
          <c:tx>
            <c:v>최소운전</c:v>
          </c:tx>
          <c:marker>
            <c:symbol val="none"/>
          </c:marker>
          <c:cat>
            <c:numRef>
              <c:f>'가변용량(일반)'!$D$60:$D$90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'가변용량(일반)'!$G$60:$G$90</c:f>
              <c:numCache>
                <c:formatCode>0.0_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26-46D7-A986-EB48B8BA19EE}"/>
            </c:ext>
          </c:extLst>
        </c:ser>
        <c:ser>
          <c:idx val="2"/>
          <c:order val="1"/>
          <c:tx>
            <c:v>중간운전</c:v>
          </c:tx>
          <c:marker>
            <c:symbol val="none"/>
          </c:marker>
          <c:cat>
            <c:numRef>
              <c:f>'가변용량(일반)'!$D$60:$D$90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'가변용량(일반)'!$I$60:$I$90</c:f>
              <c:numCache>
                <c:formatCode>0.0_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26-46D7-A986-EB48B8BA19EE}"/>
            </c:ext>
          </c:extLst>
        </c:ser>
        <c:ser>
          <c:idx val="3"/>
          <c:order val="2"/>
          <c:tx>
            <c:v>정격운전</c:v>
          </c:tx>
          <c:marker>
            <c:symbol val="none"/>
          </c:marker>
          <c:cat>
            <c:numRef>
              <c:f>'가변용량(일반)'!$D$60:$D$90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'가변용량(일반)'!$K$60:$K$90</c:f>
              <c:numCache>
                <c:formatCode>0.0_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26-46D7-A986-EB48B8BA1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21120"/>
        <c:axId val="244022656"/>
      </c:lineChart>
      <c:catAx>
        <c:axId val="24402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22656"/>
        <c:crosses val="autoZero"/>
        <c:auto val="1"/>
        <c:lblAlgn val="ctr"/>
        <c:lblOffset val="100"/>
        <c:noMultiLvlLbl val="0"/>
      </c:catAx>
      <c:valAx>
        <c:axId val="244022656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2440211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879876126595285"/>
          <c:y val="0.22397723273096609"/>
          <c:w val="0.79570137066200053"/>
          <c:h val="9.3265353325087244E-2"/>
        </c:manualLayout>
      </c:layout>
      <c:overlay val="0"/>
      <c:txPr>
        <a:bodyPr/>
        <a:lstStyle/>
        <a:p>
          <a:pPr>
            <a:defRPr sz="900"/>
          </a:pPr>
          <a:endParaRPr lang="ko-K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5240594925635"/>
          <c:y val="0.27402272497678398"/>
          <c:w val="0.84541426071741022"/>
          <c:h val="0.61079736220423519"/>
        </c:manualLayout>
      </c:layout>
      <c:lineChart>
        <c:grouping val="standard"/>
        <c:varyColors val="0"/>
        <c:ser>
          <c:idx val="1"/>
          <c:order val="0"/>
          <c:tx>
            <c:v>최소운전</c:v>
          </c:tx>
          <c:marker>
            <c:symbol val="none"/>
          </c:marker>
          <c:cat>
            <c:numRef>
              <c:f>'가변용량(일반)'!$D$60:$D$90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'가변용량(일반)'!$H$60:$H$90</c:f>
              <c:numCache>
                <c:formatCode>0.0_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90-4A71-9533-5B45366104DC}"/>
            </c:ext>
          </c:extLst>
        </c:ser>
        <c:ser>
          <c:idx val="2"/>
          <c:order val="1"/>
          <c:tx>
            <c:v>중간운전</c:v>
          </c:tx>
          <c:marker>
            <c:symbol val="none"/>
          </c:marker>
          <c:cat>
            <c:numRef>
              <c:f>'가변용량(일반)'!$D$60:$D$90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'가변용량(일반)'!$J$60:$J$90</c:f>
              <c:numCache>
                <c:formatCode>0.0_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90-4A71-9533-5B45366104DC}"/>
            </c:ext>
          </c:extLst>
        </c:ser>
        <c:ser>
          <c:idx val="3"/>
          <c:order val="2"/>
          <c:tx>
            <c:v>정격운전</c:v>
          </c:tx>
          <c:marker>
            <c:symbol val="none"/>
          </c:marker>
          <c:cat>
            <c:numRef>
              <c:f>'가변용량(일반)'!$D$60:$D$90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'가변용량(일반)'!$L$60:$L$90</c:f>
              <c:numCache>
                <c:formatCode>0.0_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90-4A71-9533-5B4536610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52352"/>
        <c:axId val="244053888"/>
      </c:lineChart>
      <c:catAx>
        <c:axId val="2440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053888"/>
        <c:crosses val="autoZero"/>
        <c:auto val="1"/>
        <c:lblAlgn val="ctr"/>
        <c:lblOffset val="100"/>
        <c:noMultiLvlLbl val="0"/>
      </c:catAx>
      <c:valAx>
        <c:axId val="244053888"/>
        <c:scaling>
          <c:orientation val="minMax"/>
        </c:scaling>
        <c:delete val="0"/>
        <c:axPos val="l"/>
        <c:majorGridlines/>
        <c:numFmt formatCode="0.0_ " sourceLinked="1"/>
        <c:majorTickMark val="out"/>
        <c:minorTickMark val="none"/>
        <c:tickLblPos val="nextTo"/>
        <c:crossAx val="244052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88888888888889"/>
          <c:y val="0.26627918346531854"/>
          <c:w val="0.84257377976421532"/>
          <c:h val="9.626854909680822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25240594925635"/>
          <c:y val="0.30146600032089182"/>
          <c:w val="0.84521981627296594"/>
          <c:h val="0.58335408686012735"/>
        </c:manualLayout>
      </c:layout>
      <c:lineChart>
        <c:grouping val="standard"/>
        <c:varyColors val="0"/>
        <c:ser>
          <c:idx val="3"/>
          <c:order val="0"/>
          <c:tx>
            <c:v>HSPF</c:v>
          </c:tx>
          <c:marker>
            <c:symbol val="none"/>
          </c:marker>
          <c:cat>
            <c:numRef>
              <c:f>'가변용량(일반)'!$D$60:$D$90</c:f>
              <c:numCache>
                <c:formatCode>General</c:formatCode>
                <c:ptCount val="31"/>
                <c:pt idx="0">
                  <c:v>-15</c:v>
                </c:pt>
                <c:pt idx="1">
                  <c:v>-14</c:v>
                </c:pt>
                <c:pt idx="2">
                  <c:v>-13</c:v>
                </c:pt>
                <c:pt idx="3">
                  <c:v>-12</c:v>
                </c:pt>
                <c:pt idx="4">
                  <c:v>-11</c:v>
                </c:pt>
                <c:pt idx="5">
                  <c:v>-10</c:v>
                </c:pt>
                <c:pt idx="6">
                  <c:v>-9</c:v>
                </c:pt>
                <c:pt idx="7">
                  <c:v>-8</c:v>
                </c:pt>
                <c:pt idx="8">
                  <c:v>-7</c:v>
                </c:pt>
                <c:pt idx="9">
                  <c:v>-6</c:v>
                </c:pt>
                <c:pt idx="10">
                  <c:v>-5</c:v>
                </c:pt>
                <c:pt idx="11">
                  <c:v>-4</c:v>
                </c:pt>
                <c:pt idx="12">
                  <c:v>-3</c:v>
                </c:pt>
                <c:pt idx="13">
                  <c:v>-2</c:v>
                </c:pt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12</c:v>
                </c:pt>
                <c:pt idx="28">
                  <c:v>13</c:v>
                </c:pt>
                <c:pt idx="29">
                  <c:v>14</c:v>
                </c:pt>
                <c:pt idx="30">
                  <c:v>15</c:v>
                </c:pt>
              </c:numCache>
            </c:numRef>
          </c:cat>
          <c:val>
            <c:numRef>
              <c:f>'가변용량(일반)'!$U$60:$U$90</c:f>
              <c:numCache>
                <c:formatCode>0.000_ 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DF-40E3-8F60-5B04A49B1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939008"/>
        <c:axId val="244940800"/>
      </c:lineChart>
      <c:catAx>
        <c:axId val="24493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4940800"/>
        <c:crosses val="autoZero"/>
        <c:auto val="1"/>
        <c:lblAlgn val="ctr"/>
        <c:lblOffset val="100"/>
        <c:noMultiLvlLbl val="0"/>
      </c:catAx>
      <c:valAx>
        <c:axId val="244940800"/>
        <c:scaling>
          <c:orientation val="minMax"/>
        </c:scaling>
        <c:delete val="0"/>
        <c:axPos val="l"/>
        <c:majorGridlines/>
        <c:numFmt formatCode="0.000_ " sourceLinked="1"/>
        <c:majorTickMark val="out"/>
        <c:minorTickMark val="none"/>
        <c:tickLblPos val="nextTo"/>
        <c:crossAx val="2449390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363964981097909"/>
          <c:y val="0.24880259807013855"/>
          <c:w val="0.27823233652615004"/>
          <c:h val="0.208927135460588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chart" Target="../charts/chart1.xml"/><Relationship Id="rId7" Type="http://schemas.openxmlformats.org/officeDocument/2006/relationships/chart" Target="../charts/chart5.xml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1068368</xdr:colOff>
      <xdr:row>0</xdr:row>
      <xdr:rowOff>150568</xdr:rowOff>
    </xdr:from>
    <xdr:to>
      <xdr:col>9</xdr:col>
      <xdr:colOff>738683</xdr:colOff>
      <xdr:row>0</xdr:row>
      <xdr:rowOff>582616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1293" y="150568"/>
          <a:ext cx="1956315" cy="432048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0</xdr:row>
      <xdr:rowOff>123825</xdr:rowOff>
    </xdr:from>
    <xdr:to>
      <xdr:col>2</xdr:col>
      <xdr:colOff>7936</xdr:colOff>
      <xdr:row>0</xdr:row>
      <xdr:rowOff>633370</xdr:rowOff>
    </xdr:to>
    <xdr:pic>
      <xdr:nvPicPr>
        <xdr:cNvPr id="3" name="그림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0" t="12886" r="3334" b="9222"/>
        <a:stretch/>
      </xdr:blipFill>
      <xdr:spPr>
        <a:xfrm>
          <a:off x="200025" y="123825"/>
          <a:ext cx="2093911" cy="5095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334943</xdr:colOff>
      <xdr:row>0</xdr:row>
      <xdr:rowOff>160093</xdr:rowOff>
    </xdr:from>
    <xdr:to>
      <xdr:col>8</xdr:col>
      <xdr:colOff>957758</xdr:colOff>
      <xdr:row>0</xdr:row>
      <xdr:rowOff>592141</xdr:rowOff>
    </xdr:to>
    <xdr:pic>
      <xdr:nvPicPr>
        <xdr:cNvPr id="4" name="그림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593" y="160093"/>
          <a:ext cx="1956315" cy="432048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26986</xdr:colOff>
      <xdr:row>0</xdr:row>
      <xdr:rowOff>604795</xdr:rowOff>
    </xdr:to>
    <xdr:pic>
      <xdr:nvPicPr>
        <xdr:cNvPr id="5" name="그림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0" t="12886" r="3334" b="9222"/>
        <a:stretch/>
      </xdr:blipFill>
      <xdr:spPr>
        <a:xfrm>
          <a:off x="123825" y="95250"/>
          <a:ext cx="2093911" cy="5095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285077</xdr:colOff>
      <xdr:row>0</xdr:row>
      <xdr:rowOff>83893</xdr:rowOff>
    </xdr:from>
    <xdr:to>
      <xdr:col>20</xdr:col>
      <xdr:colOff>657441</xdr:colOff>
      <xdr:row>0</xdr:row>
      <xdr:rowOff>515941</xdr:rowOff>
    </xdr:to>
    <xdr:pic>
      <xdr:nvPicPr>
        <xdr:cNvPr id="7" name="그림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78783" y="83893"/>
          <a:ext cx="1967521" cy="43204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76200</xdr:rowOff>
    </xdr:from>
    <xdr:to>
      <xdr:col>4</xdr:col>
      <xdr:colOff>565429</xdr:colOff>
      <xdr:row>0</xdr:row>
      <xdr:rowOff>585745</xdr:rowOff>
    </xdr:to>
    <xdr:pic>
      <xdr:nvPicPr>
        <xdr:cNvPr id="8" name="그림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00" t="12886" r="3334" b="9222"/>
        <a:stretch/>
      </xdr:blipFill>
      <xdr:spPr>
        <a:xfrm>
          <a:off x="438150" y="76200"/>
          <a:ext cx="2093911" cy="509545"/>
        </a:xfrm>
        <a:prstGeom prst="rect">
          <a:avLst/>
        </a:prstGeom>
      </xdr:spPr>
    </xdr:pic>
    <xdr:clientData/>
  </xdr:twoCellAnchor>
  <xdr:twoCellAnchor>
    <xdr:from>
      <xdr:col>22</xdr:col>
      <xdr:colOff>142875</xdr:colOff>
      <xdr:row>0</xdr:row>
      <xdr:rowOff>0</xdr:rowOff>
    </xdr:from>
    <xdr:to>
      <xdr:col>26</xdr:col>
      <xdr:colOff>695325</xdr:colOff>
      <xdr:row>8</xdr:row>
      <xdr:rowOff>190500</xdr:rowOff>
    </xdr:to>
    <xdr:grpSp>
      <xdr:nvGrpSpPr>
        <xdr:cNvPr id="20" name="그룹 19"/>
        <xdr:cNvGrpSpPr/>
      </xdr:nvGrpSpPr>
      <xdr:grpSpPr>
        <a:xfrm>
          <a:off x="15725775" y="0"/>
          <a:ext cx="3600450" cy="2638425"/>
          <a:chOff x="600075" y="7988113"/>
          <a:chExt cx="4600015" cy="3676650"/>
        </a:xfrm>
      </xdr:grpSpPr>
      <xdr:graphicFrame macro="">
        <xdr:nvGraphicFramePr>
          <xdr:cNvPr id="21" name="차트 20"/>
          <xdr:cNvGraphicFramePr/>
        </xdr:nvGraphicFramePr>
        <xdr:xfrm>
          <a:off x="600075" y="7988113"/>
          <a:ext cx="4600015" cy="3676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2" name="TextBox 21"/>
          <xdr:cNvSpPr txBox="1"/>
        </xdr:nvSpPr>
        <xdr:spPr>
          <a:xfrm>
            <a:off x="1910602" y="8188138"/>
            <a:ext cx="2955905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냉방능력 변화추이</a:t>
            </a:r>
          </a:p>
        </xdr:txBody>
      </xdr:sp>
    </xdr:grpSp>
    <xdr:clientData/>
  </xdr:twoCellAnchor>
  <xdr:twoCellAnchor>
    <xdr:from>
      <xdr:col>22</xdr:col>
      <xdr:colOff>146170</xdr:colOff>
      <xdr:row>9</xdr:row>
      <xdr:rowOff>103518</xdr:rowOff>
    </xdr:from>
    <xdr:to>
      <xdr:col>26</xdr:col>
      <xdr:colOff>704850</xdr:colOff>
      <xdr:row>24</xdr:row>
      <xdr:rowOff>35057</xdr:rowOff>
    </xdr:to>
    <xdr:grpSp>
      <xdr:nvGrpSpPr>
        <xdr:cNvPr id="23" name="그룹 22"/>
        <xdr:cNvGrpSpPr/>
      </xdr:nvGrpSpPr>
      <xdr:grpSpPr>
        <a:xfrm>
          <a:off x="15729070" y="2808618"/>
          <a:ext cx="3606680" cy="2512814"/>
          <a:chOff x="6358218" y="7969063"/>
          <a:chExt cx="4605617" cy="3702182"/>
        </a:xfrm>
      </xdr:grpSpPr>
      <xdr:graphicFrame macro="">
        <xdr:nvGraphicFramePr>
          <xdr:cNvPr id="24" name="차트 23"/>
          <xdr:cNvGraphicFramePr>
            <a:graphicFrameLocks/>
          </xdr:cNvGraphicFramePr>
        </xdr:nvGraphicFramePr>
        <xdr:xfrm>
          <a:off x="6358218" y="7969063"/>
          <a:ext cx="4605617" cy="3702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25" name="TextBox 24"/>
          <xdr:cNvSpPr txBox="1"/>
        </xdr:nvSpPr>
        <xdr:spPr>
          <a:xfrm>
            <a:off x="7855324" y="8216712"/>
            <a:ext cx="3001886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소비전력 변화추이</a:t>
            </a:r>
          </a:p>
        </xdr:txBody>
      </xdr:sp>
    </xdr:grpSp>
    <xdr:clientData/>
  </xdr:twoCellAnchor>
  <xdr:twoCellAnchor>
    <xdr:from>
      <xdr:col>22</xdr:col>
      <xdr:colOff>149285</xdr:colOff>
      <xdr:row>25</xdr:row>
      <xdr:rowOff>8268</xdr:rowOff>
    </xdr:from>
    <xdr:to>
      <xdr:col>26</xdr:col>
      <xdr:colOff>723900</xdr:colOff>
      <xdr:row>39</xdr:row>
      <xdr:rowOff>38100</xdr:rowOff>
    </xdr:to>
    <xdr:grpSp>
      <xdr:nvGrpSpPr>
        <xdr:cNvPr id="26" name="그룹 25"/>
        <xdr:cNvGrpSpPr/>
      </xdr:nvGrpSpPr>
      <xdr:grpSpPr>
        <a:xfrm>
          <a:off x="15732185" y="5466093"/>
          <a:ext cx="3622615" cy="2449182"/>
          <a:chOff x="12093388" y="7959538"/>
          <a:chExt cx="4600015" cy="3702182"/>
        </a:xfrm>
      </xdr:grpSpPr>
      <xdr:graphicFrame macro="">
        <xdr:nvGraphicFramePr>
          <xdr:cNvPr id="27" name="차트 26"/>
          <xdr:cNvGraphicFramePr>
            <a:graphicFrameLocks/>
          </xdr:cNvGraphicFramePr>
        </xdr:nvGraphicFramePr>
        <xdr:xfrm>
          <a:off x="12093388" y="7959538"/>
          <a:ext cx="4600015" cy="3702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28" name="TextBox 27"/>
          <xdr:cNvSpPr txBox="1"/>
        </xdr:nvSpPr>
        <xdr:spPr>
          <a:xfrm>
            <a:off x="13695270" y="8283388"/>
            <a:ext cx="2345296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효율 변화추이</a:t>
            </a:r>
          </a:p>
        </xdr:txBody>
      </xdr:sp>
    </xdr:grpSp>
    <xdr:clientData/>
  </xdr:twoCellAnchor>
  <xdr:twoCellAnchor>
    <xdr:from>
      <xdr:col>22</xdr:col>
      <xdr:colOff>171450</xdr:colOff>
      <xdr:row>40</xdr:row>
      <xdr:rowOff>171450</xdr:rowOff>
    </xdr:from>
    <xdr:to>
      <xdr:col>26</xdr:col>
      <xdr:colOff>723900</xdr:colOff>
      <xdr:row>53</xdr:row>
      <xdr:rowOff>104775</xdr:rowOff>
    </xdr:to>
    <xdr:grpSp>
      <xdr:nvGrpSpPr>
        <xdr:cNvPr id="13" name="그룹 12"/>
        <xdr:cNvGrpSpPr/>
      </xdr:nvGrpSpPr>
      <xdr:grpSpPr>
        <a:xfrm>
          <a:off x="15754350" y="8220075"/>
          <a:ext cx="3600450" cy="2638425"/>
          <a:chOff x="600075" y="7988113"/>
          <a:chExt cx="4600015" cy="3676650"/>
        </a:xfrm>
      </xdr:grpSpPr>
      <xdr:graphicFrame macro="">
        <xdr:nvGraphicFramePr>
          <xdr:cNvPr id="14" name="차트 13"/>
          <xdr:cNvGraphicFramePr/>
        </xdr:nvGraphicFramePr>
        <xdr:xfrm>
          <a:off x="600075" y="7988113"/>
          <a:ext cx="4600015" cy="3676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15" name="TextBox 14"/>
          <xdr:cNvSpPr txBox="1"/>
        </xdr:nvSpPr>
        <xdr:spPr>
          <a:xfrm>
            <a:off x="1910602" y="8188138"/>
            <a:ext cx="1853306" cy="50246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난방능력 변화추이</a:t>
            </a:r>
          </a:p>
        </xdr:txBody>
      </xdr:sp>
    </xdr:grpSp>
    <xdr:clientData/>
  </xdr:twoCellAnchor>
  <xdr:twoCellAnchor>
    <xdr:from>
      <xdr:col>22</xdr:col>
      <xdr:colOff>174745</xdr:colOff>
      <xdr:row>54</xdr:row>
      <xdr:rowOff>103518</xdr:rowOff>
    </xdr:from>
    <xdr:to>
      <xdr:col>26</xdr:col>
      <xdr:colOff>733425</xdr:colOff>
      <xdr:row>69</xdr:row>
      <xdr:rowOff>25532</xdr:rowOff>
    </xdr:to>
    <xdr:grpSp>
      <xdr:nvGrpSpPr>
        <xdr:cNvPr id="16" name="그룹 15"/>
        <xdr:cNvGrpSpPr/>
      </xdr:nvGrpSpPr>
      <xdr:grpSpPr>
        <a:xfrm>
          <a:off x="15757645" y="11028693"/>
          <a:ext cx="3606680" cy="2522339"/>
          <a:chOff x="6358218" y="7969063"/>
          <a:chExt cx="4605617" cy="3702182"/>
        </a:xfrm>
      </xdr:grpSpPr>
      <xdr:graphicFrame macro="">
        <xdr:nvGraphicFramePr>
          <xdr:cNvPr id="17" name="차트 16"/>
          <xdr:cNvGraphicFramePr>
            <a:graphicFrameLocks/>
          </xdr:cNvGraphicFramePr>
        </xdr:nvGraphicFramePr>
        <xdr:xfrm>
          <a:off x="6358218" y="7969063"/>
          <a:ext cx="4605617" cy="3702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18" name="TextBox 17"/>
          <xdr:cNvSpPr txBox="1"/>
        </xdr:nvSpPr>
        <xdr:spPr>
          <a:xfrm>
            <a:off x="7855324" y="8216712"/>
            <a:ext cx="3001886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소비전력 변화추이</a:t>
            </a:r>
          </a:p>
        </xdr:txBody>
      </xdr:sp>
    </xdr:grpSp>
    <xdr:clientData/>
  </xdr:twoCellAnchor>
  <xdr:twoCellAnchor>
    <xdr:from>
      <xdr:col>22</xdr:col>
      <xdr:colOff>177860</xdr:colOff>
      <xdr:row>70</xdr:row>
      <xdr:rowOff>2105</xdr:rowOff>
    </xdr:from>
    <xdr:to>
      <xdr:col>26</xdr:col>
      <xdr:colOff>752475</xdr:colOff>
      <xdr:row>84</xdr:row>
      <xdr:rowOff>28575</xdr:rowOff>
    </xdr:to>
    <xdr:grpSp>
      <xdr:nvGrpSpPr>
        <xdr:cNvPr id="19" name="그룹 18"/>
        <xdr:cNvGrpSpPr/>
      </xdr:nvGrpSpPr>
      <xdr:grpSpPr>
        <a:xfrm>
          <a:off x="15760760" y="13699055"/>
          <a:ext cx="3622615" cy="2436295"/>
          <a:chOff x="12093388" y="7959538"/>
          <a:chExt cx="4600015" cy="3702182"/>
        </a:xfrm>
      </xdr:grpSpPr>
      <xdr:graphicFrame macro="">
        <xdr:nvGraphicFramePr>
          <xdr:cNvPr id="29" name="차트 28"/>
          <xdr:cNvGraphicFramePr>
            <a:graphicFrameLocks/>
          </xdr:cNvGraphicFramePr>
        </xdr:nvGraphicFramePr>
        <xdr:xfrm>
          <a:off x="12093388" y="7959538"/>
          <a:ext cx="4600015" cy="3702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30" name="TextBox 29"/>
          <xdr:cNvSpPr txBox="1"/>
        </xdr:nvSpPr>
        <xdr:spPr>
          <a:xfrm>
            <a:off x="13695270" y="8161927"/>
            <a:ext cx="2345296" cy="53009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ko-KR" altLang="en-US" sz="1200" b="1"/>
              <a:t>효율 변화추이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Work/04.&#49884;&#54744;/CSPF/AC_ISO16358%20CSPF%20Calculation_wyp_revised_201505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(3DPs)"/>
      <sheetName val="Temp Bins"/>
      <sheetName val="Sheet1"/>
      <sheetName val="KS부합"/>
      <sheetName val="VA(3DPs) (3)"/>
    </sheetNames>
    <sheetDataSet>
      <sheetData sheetId="0"/>
      <sheetData sheetId="1">
        <row r="2">
          <cell r="C2" t="str">
            <v>ISO</v>
          </cell>
        </row>
      </sheetData>
      <sheetData sheetId="2"/>
      <sheetData sheetId="3">
        <row r="20">
          <cell r="C20" t="str">
            <v>Lc (tj)</v>
          </cell>
        </row>
      </sheetData>
      <sheetData sheetId="4">
        <row r="20">
          <cell r="C20" t="str">
            <v>Lc (tj)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workbookViewId="0">
      <selection activeCell="L1" sqref="L1"/>
    </sheetView>
  </sheetViews>
  <sheetFormatPr defaultRowHeight="12"/>
  <cols>
    <col min="1" max="1" width="16.6640625" style="1" customWidth="1"/>
    <col min="2" max="2" width="10" style="1" customWidth="1"/>
    <col min="3" max="4" width="11" style="1" customWidth="1"/>
    <col min="5" max="9" width="13.33203125" style="1" customWidth="1"/>
    <col min="10" max="10" width="11" style="1" customWidth="1"/>
    <col min="11" max="16384" width="8.88671875" style="1"/>
  </cols>
  <sheetData>
    <row r="1" spans="1:10" ht="60" customHeight="1" thickBot="1">
      <c r="A1" s="366" t="s">
        <v>146</v>
      </c>
      <c r="B1" s="367"/>
      <c r="C1" s="367"/>
      <c r="D1" s="367"/>
      <c r="E1" s="367"/>
      <c r="F1" s="367"/>
      <c r="G1" s="367"/>
      <c r="H1" s="367"/>
      <c r="I1" s="367"/>
      <c r="J1" s="368"/>
    </row>
    <row r="2" spans="1:10" ht="30.75" customHeight="1" thickBot="1">
      <c r="J2" s="29" t="s">
        <v>310</v>
      </c>
    </row>
    <row r="3" spans="1:10" ht="22.5" customHeight="1">
      <c r="A3" s="18" t="s">
        <v>28</v>
      </c>
      <c r="B3" s="376" t="s">
        <v>309</v>
      </c>
      <c r="C3" s="376"/>
      <c r="D3" s="376"/>
      <c r="E3" s="376"/>
      <c r="F3" s="376"/>
      <c r="G3" s="376"/>
      <c r="H3" s="376"/>
      <c r="I3" s="376"/>
      <c r="J3" s="377"/>
    </row>
    <row r="4" spans="1:10" ht="22.5" customHeight="1" thickBot="1">
      <c r="A4" s="19" t="s">
        <v>29</v>
      </c>
      <c r="B4" s="378" t="s">
        <v>293</v>
      </c>
      <c r="C4" s="378"/>
      <c r="D4" s="378"/>
      <c r="E4" s="378"/>
      <c r="F4" s="378"/>
      <c r="G4" s="378"/>
      <c r="H4" s="378"/>
      <c r="I4" s="378"/>
      <c r="J4" s="379"/>
    </row>
    <row r="5" spans="1:10" ht="22.5" customHeight="1"/>
    <row r="6" spans="1:10" ht="22.5" customHeight="1" thickBot="1">
      <c r="A6" s="2" t="s">
        <v>2</v>
      </c>
      <c r="B6" s="2"/>
      <c r="I6" s="3"/>
      <c r="J6" s="3" t="s">
        <v>12</v>
      </c>
    </row>
    <row r="7" spans="1:10" ht="22.5" customHeight="1">
      <c r="A7" s="356" t="s">
        <v>109</v>
      </c>
      <c r="B7" s="357"/>
      <c r="C7" s="374" t="s">
        <v>305</v>
      </c>
      <c r="D7" s="374"/>
      <c r="E7" s="375"/>
      <c r="F7" s="369" t="s">
        <v>157</v>
      </c>
      <c r="G7" s="357"/>
      <c r="H7" s="374" t="s">
        <v>32</v>
      </c>
      <c r="I7" s="374"/>
      <c r="J7" s="375"/>
    </row>
    <row r="8" spans="1:10" ht="22.5" customHeight="1">
      <c r="A8" s="380" t="s">
        <v>13</v>
      </c>
      <c r="B8" s="373"/>
      <c r="C8" s="370" t="s">
        <v>306</v>
      </c>
      <c r="D8" s="370"/>
      <c r="E8" s="371"/>
      <c r="F8" s="372" t="s">
        <v>33</v>
      </c>
      <c r="G8" s="373"/>
      <c r="H8" s="370" t="s">
        <v>248</v>
      </c>
      <c r="I8" s="370"/>
      <c r="J8" s="371"/>
    </row>
    <row r="9" spans="1:10" ht="22.5" customHeight="1">
      <c r="A9" s="380" t="s">
        <v>154</v>
      </c>
      <c r="B9" s="32" t="s">
        <v>155</v>
      </c>
      <c r="C9" s="370" t="s">
        <v>307</v>
      </c>
      <c r="D9" s="370"/>
      <c r="E9" s="371"/>
      <c r="F9" s="372" t="s">
        <v>3</v>
      </c>
      <c r="G9" s="373"/>
      <c r="H9" s="370" t="s">
        <v>31</v>
      </c>
      <c r="I9" s="370"/>
      <c r="J9" s="371"/>
    </row>
    <row r="10" spans="1:10" ht="22.5" customHeight="1">
      <c r="A10" s="380"/>
      <c r="B10" s="32" t="s">
        <v>156</v>
      </c>
      <c r="C10" s="370" t="s">
        <v>308</v>
      </c>
      <c r="D10" s="370"/>
      <c r="E10" s="371"/>
      <c r="F10" s="372" t="s">
        <v>4</v>
      </c>
      <c r="G10" s="373"/>
      <c r="H10" s="370" t="s">
        <v>30</v>
      </c>
      <c r="I10" s="370"/>
      <c r="J10" s="371"/>
    </row>
    <row r="11" spans="1:10" ht="22.5" customHeight="1" thickBot="1">
      <c r="A11" s="345" t="s">
        <v>223</v>
      </c>
      <c r="B11" s="346"/>
      <c r="C11" s="347" t="s">
        <v>225</v>
      </c>
      <c r="D11" s="347"/>
      <c r="E11" s="348"/>
      <c r="F11" s="349" t="s">
        <v>224</v>
      </c>
      <c r="G11" s="346"/>
      <c r="H11" s="350" t="str">
        <f>IF(C11="일반제품","수동대기",IF(C11="네트워크제품","능동대기"))</f>
        <v>수동대기</v>
      </c>
      <c r="I11" s="350"/>
      <c r="J11" s="351"/>
    </row>
    <row r="12" spans="1:10" ht="22.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</row>
    <row r="13" spans="1:10" ht="22.5" customHeight="1" thickBot="1">
      <c r="A13" s="2" t="s">
        <v>25</v>
      </c>
    </row>
    <row r="14" spans="1:10" ht="22.5" customHeight="1">
      <c r="A14" s="356" t="s">
        <v>0</v>
      </c>
      <c r="B14" s="357" t="s">
        <v>1</v>
      </c>
      <c r="C14" s="421" t="s">
        <v>94</v>
      </c>
      <c r="D14" s="422"/>
      <c r="E14" s="356" t="s">
        <v>92</v>
      </c>
      <c r="F14" s="357"/>
      <c r="G14" s="360"/>
    </row>
    <row r="15" spans="1:10" ht="22.5" customHeight="1" thickBot="1">
      <c r="A15" s="345"/>
      <c r="B15" s="346"/>
      <c r="C15" s="423"/>
      <c r="D15" s="424"/>
      <c r="E15" s="345"/>
      <c r="F15" s="346"/>
      <c r="G15" s="361"/>
    </row>
    <row r="16" spans="1:10" ht="22.5" customHeight="1">
      <c r="A16" s="79" t="s">
        <v>115</v>
      </c>
      <c r="B16" s="314" t="s">
        <v>137</v>
      </c>
      <c r="C16" s="429" t="s">
        <v>304</v>
      </c>
      <c r="D16" s="430"/>
      <c r="E16" s="405" t="str">
        <f>E42</f>
        <v>"결과입력"</v>
      </c>
      <c r="F16" s="406"/>
      <c r="G16" s="315" t="e">
        <f>C16/E16</f>
        <v>#VALUE!</v>
      </c>
    </row>
    <row r="17" spans="1:7" ht="22.5" customHeight="1">
      <c r="A17" s="25" t="s">
        <v>118</v>
      </c>
      <c r="B17" s="27" t="s">
        <v>137</v>
      </c>
      <c r="C17" s="358" t="s">
        <v>294</v>
      </c>
      <c r="D17" s="359"/>
      <c r="E17" s="407" t="str">
        <f>E48</f>
        <v>"결과입력"</v>
      </c>
      <c r="F17" s="408"/>
      <c r="G17" s="315" t="e">
        <f t="shared" ref="G17:G36" si="0">C17/E17</f>
        <v>#VALUE!</v>
      </c>
    </row>
    <row r="18" spans="1:7" ht="22.5" customHeight="1">
      <c r="A18" s="25" t="s">
        <v>120</v>
      </c>
      <c r="B18" s="27" t="s">
        <v>137</v>
      </c>
      <c r="C18" s="358" t="s">
        <v>295</v>
      </c>
      <c r="D18" s="359"/>
      <c r="E18" s="407" t="str">
        <f>E43</f>
        <v>"결과입력"</v>
      </c>
      <c r="F18" s="408"/>
      <c r="G18" s="315" t="e">
        <f t="shared" si="0"/>
        <v>#VALUE!</v>
      </c>
    </row>
    <row r="19" spans="1:7" ht="22.5" customHeight="1">
      <c r="A19" s="25" t="s">
        <v>121</v>
      </c>
      <c r="B19" s="27" t="s">
        <v>137</v>
      </c>
      <c r="C19" s="358" t="s">
        <v>294</v>
      </c>
      <c r="D19" s="359"/>
      <c r="E19" s="407" t="str">
        <f>E49</f>
        <v>"결과입력"</v>
      </c>
      <c r="F19" s="408"/>
      <c r="G19" s="315" t="e">
        <f t="shared" si="0"/>
        <v>#VALUE!</v>
      </c>
    </row>
    <row r="20" spans="1:7" ht="22.5" customHeight="1">
      <c r="A20" s="31" t="s">
        <v>228</v>
      </c>
      <c r="B20" s="27" t="s">
        <v>229</v>
      </c>
      <c r="C20" s="352" t="s">
        <v>296</v>
      </c>
      <c r="D20" s="353"/>
      <c r="E20" s="354" t="str">
        <f>C98</f>
        <v>"결과입력"</v>
      </c>
      <c r="F20" s="355"/>
      <c r="G20" s="315" t="e">
        <f t="shared" si="0"/>
        <v>#VALUE!</v>
      </c>
    </row>
    <row r="21" spans="1:7" ht="22.5" customHeight="1">
      <c r="A21" s="25" t="s">
        <v>122</v>
      </c>
      <c r="B21" s="27" t="s">
        <v>138</v>
      </c>
      <c r="C21" s="411" t="s">
        <v>294</v>
      </c>
      <c r="D21" s="412"/>
      <c r="E21" s="409" t="e">
        <f>'가변용량(일반)'!J9</f>
        <v>#VALUE!</v>
      </c>
      <c r="F21" s="410"/>
      <c r="G21" s="315" t="e">
        <f t="shared" si="0"/>
        <v>#VALUE!</v>
      </c>
    </row>
    <row r="22" spans="1:7" ht="22.5" customHeight="1">
      <c r="A22" s="25" t="s">
        <v>124</v>
      </c>
      <c r="B22" s="27" t="s">
        <v>138</v>
      </c>
      <c r="C22" s="431" t="s">
        <v>297</v>
      </c>
      <c r="D22" s="432"/>
      <c r="E22" s="425" t="e">
        <f>'가변용량(일반)'!J47</f>
        <v>#VALUE!</v>
      </c>
      <c r="F22" s="426"/>
      <c r="G22" s="315" t="e">
        <f t="shared" si="0"/>
        <v>#VALUE!</v>
      </c>
    </row>
    <row r="23" spans="1:7" ht="22.5" customHeight="1">
      <c r="A23" s="28" t="s">
        <v>125</v>
      </c>
      <c r="B23" s="27" t="s">
        <v>137</v>
      </c>
      <c r="C23" s="403" t="s">
        <v>298</v>
      </c>
      <c r="D23" s="404"/>
      <c r="E23" s="427" t="str">
        <f>C23</f>
        <v>"직접입력"</v>
      </c>
      <c r="F23" s="428"/>
      <c r="G23" s="315" t="e">
        <f t="shared" si="0"/>
        <v>#VALUE!</v>
      </c>
    </row>
    <row r="24" spans="1:7" ht="22.5" customHeight="1">
      <c r="A24" s="25" t="s">
        <v>126</v>
      </c>
      <c r="B24" s="80" t="s">
        <v>139</v>
      </c>
      <c r="C24" s="381" t="s">
        <v>294</v>
      </c>
      <c r="D24" s="382"/>
      <c r="E24" s="413" t="e">
        <f>'가변용량(일반)'!D9</f>
        <v>#VALUE!</v>
      </c>
      <c r="F24" s="414"/>
      <c r="G24" s="315" t="e">
        <f t="shared" si="0"/>
        <v>#VALUE!</v>
      </c>
    </row>
    <row r="25" spans="1:7" ht="22.5" customHeight="1" thickBot="1">
      <c r="A25" s="4" t="s">
        <v>128</v>
      </c>
      <c r="B25" s="81" t="s">
        <v>140</v>
      </c>
      <c r="C25" s="383" t="s">
        <v>294</v>
      </c>
      <c r="D25" s="384"/>
      <c r="E25" s="415" t="e">
        <f>'가변용량(일반)'!D47</f>
        <v>#VALUE!</v>
      </c>
      <c r="F25" s="416"/>
      <c r="G25" s="315" t="e">
        <f t="shared" si="0"/>
        <v>#VALUE!</v>
      </c>
    </row>
    <row r="26" spans="1:7" ht="22.5" customHeight="1">
      <c r="A26" s="24" t="s">
        <v>235</v>
      </c>
      <c r="B26" s="33" t="s">
        <v>141</v>
      </c>
      <c r="C26" s="325" t="e">
        <f>ROUND(C30*1000/3790,0)</f>
        <v>#VALUE!</v>
      </c>
      <c r="D26" s="326"/>
      <c r="E26" s="331" t="e">
        <f>ROUND(E30*1000/941,0)</f>
        <v>#VALUE!</v>
      </c>
      <c r="F26" s="332"/>
      <c r="G26" s="315" t="e">
        <f t="shared" si="0"/>
        <v>#VALUE!</v>
      </c>
    </row>
    <row r="27" spans="1:7" ht="22.5" customHeight="1">
      <c r="A27" s="28" t="s">
        <v>236</v>
      </c>
      <c r="B27" s="32" t="s">
        <v>141</v>
      </c>
      <c r="C27" s="325" t="e">
        <f>ROUND(C31*1000/3790,0)</f>
        <v>#VALUE!</v>
      </c>
      <c r="D27" s="326"/>
      <c r="E27" s="331" t="e">
        <f>ROUND(E31*1000/2849,0)</f>
        <v>#VALUE!</v>
      </c>
      <c r="F27" s="332"/>
      <c r="G27" s="315" t="e">
        <f t="shared" si="0"/>
        <v>#VALUE!</v>
      </c>
    </row>
    <row r="28" spans="1:7" ht="22.5" customHeight="1">
      <c r="A28" s="5" t="s">
        <v>237</v>
      </c>
      <c r="B28" s="27" t="s">
        <v>142</v>
      </c>
      <c r="C28" s="327" t="e">
        <f>ROUND(C26*0.425,0)</f>
        <v>#VALUE!</v>
      </c>
      <c r="D28" s="328"/>
      <c r="E28" s="331" t="e">
        <f>ROUND(E26*0.425,0)</f>
        <v>#VALUE!</v>
      </c>
      <c r="F28" s="332"/>
      <c r="G28" s="315" t="e">
        <f t="shared" si="0"/>
        <v>#VALUE!</v>
      </c>
    </row>
    <row r="29" spans="1:7" ht="22.5" customHeight="1">
      <c r="A29" s="5" t="s">
        <v>238</v>
      </c>
      <c r="B29" s="27" t="s">
        <v>131</v>
      </c>
      <c r="C29" s="327" t="e">
        <f>ROUND(C27*0.425,0)</f>
        <v>#VALUE!</v>
      </c>
      <c r="D29" s="328"/>
      <c r="E29" s="331" t="e">
        <f>ROUND(E27*0.425,0)</f>
        <v>#VALUE!</v>
      </c>
      <c r="F29" s="332"/>
      <c r="G29" s="315" t="e">
        <f t="shared" si="0"/>
        <v>#VALUE!</v>
      </c>
    </row>
    <row r="30" spans="1:7" ht="22.5" customHeight="1">
      <c r="A30" s="5" t="s">
        <v>239</v>
      </c>
      <c r="B30" s="27" t="s">
        <v>143</v>
      </c>
      <c r="C30" s="329" t="e">
        <f>ROUND(C32*4,1)</f>
        <v>#VALUE!</v>
      </c>
      <c r="D30" s="330"/>
      <c r="E30" s="333" t="e">
        <f>ROUND(E32*4,1)</f>
        <v>#VALUE!</v>
      </c>
      <c r="F30" s="334"/>
      <c r="G30" s="315" t="e">
        <f t="shared" si="0"/>
        <v>#VALUE!</v>
      </c>
    </row>
    <row r="31" spans="1:7" ht="22.5" customHeight="1">
      <c r="A31" s="79" t="s">
        <v>240</v>
      </c>
      <c r="B31" s="27" t="s">
        <v>143</v>
      </c>
      <c r="C31" s="329" t="e">
        <f>ROUND(C33*4,1)</f>
        <v>#VALUE!</v>
      </c>
      <c r="D31" s="330"/>
      <c r="E31" s="333" t="e">
        <f>ROUND(E33*4,1)</f>
        <v>#VALUE!</v>
      </c>
      <c r="F31" s="334"/>
      <c r="G31" s="315" t="e">
        <f t="shared" si="0"/>
        <v>#VALUE!</v>
      </c>
    </row>
    <row r="32" spans="1:7" ht="22.5" customHeight="1">
      <c r="A32" s="28" t="s">
        <v>133</v>
      </c>
      <c r="B32" s="27" t="s">
        <v>138</v>
      </c>
      <c r="C32" s="419" t="e">
        <f>ROUND(C21/4,1)</f>
        <v>#VALUE!</v>
      </c>
      <c r="D32" s="420"/>
      <c r="E32" s="395" t="e">
        <f>ROUND(E21/4,1)</f>
        <v>#VALUE!</v>
      </c>
      <c r="F32" s="396"/>
      <c r="G32" s="315" t="e">
        <f t="shared" si="0"/>
        <v>#VALUE!</v>
      </c>
    </row>
    <row r="33" spans="1:10" ht="22.5" customHeight="1">
      <c r="A33" s="25" t="s">
        <v>134</v>
      </c>
      <c r="B33" s="27" t="s">
        <v>138</v>
      </c>
      <c r="C33" s="417" t="e">
        <f>ROUND(C22/4,1)</f>
        <v>#VALUE!</v>
      </c>
      <c r="D33" s="418"/>
      <c r="E33" s="397" t="e">
        <f>ROUND(E22/4,1)</f>
        <v>#VALUE!</v>
      </c>
      <c r="F33" s="398"/>
      <c r="G33" s="315" t="e">
        <f t="shared" si="0"/>
        <v>#VALUE!</v>
      </c>
    </row>
    <row r="34" spans="1:10" ht="22.5" customHeight="1">
      <c r="A34" s="5" t="s">
        <v>241</v>
      </c>
      <c r="B34" s="27" t="s">
        <v>144</v>
      </c>
      <c r="C34" s="327" t="e">
        <f>ROUND(C32*113,-3)</f>
        <v>#VALUE!</v>
      </c>
      <c r="D34" s="328"/>
      <c r="E34" s="331" t="e">
        <f>ROUND(E32*113,-3)</f>
        <v>#VALUE!</v>
      </c>
      <c r="F34" s="332"/>
      <c r="G34" s="315" t="e">
        <f t="shared" si="0"/>
        <v>#VALUE!</v>
      </c>
    </row>
    <row r="35" spans="1:10" ht="22.5" customHeight="1">
      <c r="A35" s="5" t="s">
        <v>311</v>
      </c>
      <c r="B35" s="27" t="s">
        <v>144</v>
      </c>
      <c r="C35" s="327" t="e">
        <f>ROUND(C33*113,-3)</f>
        <v>#VALUE!</v>
      </c>
      <c r="D35" s="328"/>
      <c r="E35" s="331" t="e">
        <f>ROUND(E33*113,-3)</f>
        <v>#VALUE!</v>
      </c>
      <c r="F35" s="332"/>
      <c r="G35" s="315" t="e">
        <f t="shared" si="0"/>
        <v>#VALUE!</v>
      </c>
    </row>
    <row r="36" spans="1:10" ht="22.5" customHeight="1">
      <c r="A36" s="5" t="s">
        <v>136</v>
      </c>
      <c r="B36" s="26" t="s">
        <v>145</v>
      </c>
      <c r="C36" s="401" t="s">
        <v>301</v>
      </c>
      <c r="D36" s="402"/>
      <c r="E36" s="399" t="s">
        <v>303</v>
      </c>
      <c r="F36" s="400"/>
      <c r="G36" s="315" t="e">
        <f t="shared" si="0"/>
        <v>#VALUE!</v>
      </c>
    </row>
    <row r="37" spans="1:10" ht="22.5" customHeight="1" thickBot="1">
      <c r="A37" s="82" t="s">
        <v>26</v>
      </c>
      <c r="B37" s="83" t="s">
        <v>27</v>
      </c>
      <c r="C37" s="391" t="s">
        <v>300</v>
      </c>
      <c r="D37" s="392"/>
      <c r="E37" s="393" t="s">
        <v>302</v>
      </c>
      <c r="F37" s="394"/>
      <c r="G37" s="315" t="e">
        <f>C37/E37</f>
        <v>#VALUE!</v>
      </c>
    </row>
    <row r="38" spans="1:10" ht="15.95" customHeight="1"/>
    <row r="39" spans="1:10" ht="15.95" customHeight="1" thickBot="1">
      <c r="A39" s="2" t="s">
        <v>97</v>
      </c>
      <c r="B39" s="2"/>
    </row>
    <row r="40" spans="1:10" ht="20.25" customHeight="1">
      <c r="A40" s="316" t="s">
        <v>23</v>
      </c>
      <c r="B40" s="317"/>
      <c r="C40" s="317"/>
      <c r="D40" s="389"/>
      <c r="E40" s="338" t="s">
        <v>24</v>
      </c>
      <c r="F40" s="386" t="s">
        <v>96</v>
      </c>
      <c r="G40" s="387"/>
      <c r="H40" s="387"/>
      <c r="I40" s="387"/>
      <c r="J40" s="388"/>
    </row>
    <row r="41" spans="1:10" ht="26.25" customHeight="1" thickBot="1">
      <c r="A41" s="322"/>
      <c r="B41" s="323"/>
      <c r="C41" s="323"/>
      <c r="D41" s="390"/>
      <c r="E41" s="385"/>
      <c r="F41" s="84" t="s">
        <v>102</v>
      </c>
      <c r="G41" s="84" t="s">
        <v>101</v>
      </c>
      <c r="H41" s="84" t="s">
        <v>100</v>
      </c>
      <c r="I41" s="84" t="s">
        <v>99</v>
      </c>
      <c r="J41" s="85" t="s">
        <v>98</v>
      </c>
    </row>
    <row r="42" spans="1:10" ht="22.5" customHeight="1">
      <c r="A42" s="335" t="s">
        <v>147</v>
      </c>
      <c r="B42" s="338" t="s">
        <v>14</v>
      </c>
      <c r="C42" s="338" t="s">
        <v>15</v>
      </c>
      <c r="D42" s="23" t="s">
        <v>16</v>
      </c>
      <c r="E42" s="87" t="s">
        <v>299</v>
      </c>
      <c r="F42" s="102" t="s">
        <v>299</v>
      </c>
      <c r="G42" s="102" t="s">
        <v>299</v>
      </c>
      <c r="H42" s="102" t="s">
        <v>299</v>
      </c>
      <c r="I42" s="102" t="s">
        <v>299</v>
      </c>
      <c r="J42" s="103" t="s">
        <v>299</v>
      </c>
    </row>
    <row r="43" spans="1:10" ht="22.5" customHeight="1">
      <c r="A43" s="336"/>
      <c r="B43" s="339"/>
      <c r="C43" s="340"/>
      <c r="D43" s="93" t="s">
        <v>18</v>
      </c>
      <c r="E43" s="88" t="s">
        <v>299</v>
      </c>
      <c r="F43" s="104" t="s">
        <v>299</v>
      </c>
      <c r="G43" s="104" t="s">
        <v>299</v>
      </c>
      <c r="H43" s="104" t="s">
        <v>299</v>
      </c>
      <c r="I43" s="104" t="s">
        <v>299</v>
      </c>
      <c r="J43" s="105" t="s">
        <v>299</v>
      </c>
    </row>
    <row r="44" spans="1:10" ht="22.5" customHeight="1">
      <c r="A44" s="336"/>
      <c r="B44" s="339"/>
      <c r="C44" s="341" t="s">
        <v>19</v>
      </c>
      <c r="D44" s="93" t="s">
        <v>16</v>
      </c>
      <c r="E44" s="88" t="s">
        <v>299</v>
      </c>
      <c r="F44" s="104" t="s">
        <v>299</v>
      </c>
      <c r="G44" s="104" t="s">
        <v>299</v>
      </c>
      <c r="H44" s="104" t="s">
        <v>299</v>
      </c>
      <c r="I44" s="104" t="s">
        <v>299</v>
      </c>
      <c r="J44" s="105" t="s">
        <v>299</v>
      </c>
    </row>
    <row r="45" spans="1:10" ht="22.5" customHeight="1">
      <c r="A45" s="336"/>
      <c r="B45" s="340"/>
      <c r="C45" s="340"/>
      <c r="D45" s="93" t="s">
        <v>20</v>
      </c>
      <c r="E45" s="88" t="s">
        <v>299</v>
      </c>
      <c r="F45" s="104" t="s">
        <v>299</v>
      </c>
      <c r="G45" s="104" t="s">
        <v>299</v>
      </c>
      <c r="H45" s="104" t="s">
        <v>299</v>
      </c>
      <c r="I45" s="104" t="s">
        <v>299</v>
      </c>
      <c r="J45" s="105" t="s">
        <v>299</v>
      </c>
    </row>
    <row r="46" spans="1:10" ht="22.5" customHeight="1">
      <c r="A46" s="336"/>
      <c r="B46" s="343" t="s">
        <v>21</v>
      </c>
      <c r="C46" s="343" t="s">
        <v>22</v>
      </c>
      <c r="D46" s="93" t="s">
        <v>16</v>
      </c>
      <c r="E46" s="88" t="s">
        <v>299</v>
      </c>
      <c r="F46" s="104" t="s">
        <v>299</v>
      </c>
      <c r="G46" s="104" t="s">
        <v>299</v>
      </c>
      <c r="H46" s="104" t="s">
        <v>299</v>
      </c>
      <c r="I46" s="104" t="s">
        <v>299</v>
      </c>
      <c r="J46" s="105" t="s">
        <v>299</v>
      </c>
    </row>
    <row r="47" spans="1:10" ht="22.5" customHeight="1" thickBot="1">
      <c r="A47" s="337"/>
      <c r="B47" s="344"/>
      <c r="C47" s="344"/>
      <c r="D47" s="94" t="s">
        <v>20</v>
      </c>
      <c r="E47" s="89" t="s">
        <v>299</v>
      </c>
      <c r="F47" s="106" t="s">
        <v>299</v>
      </c>
      <c r="G47" s="106" t="s">
        <v>299</v>
      </c>
      <c r="H47" s="106" t="s">
        <v>299</v>
      </c>
      <c r="I47" s="106" t="s">
        <v>299</v>
      </c>
      <c r="J47" s="107" t="s">
        <v>299</v>
      </c>
    </row>
    <row r="48" spans="1:10" ht="22.5" customHeight="1">
      <c r="A48" s="363" t="s">
        <v>148</v>
      </c>
      <c r="B48" s="338" t="s">
        <v>149</v>
      </c>
      <c r="C48" s="362" t="s">
        <v>15</v>
      </c>
      <c r="D48" s="23" t="s">
        <v>16</v>
      </c>
      <c r="E48" s="87" t="s">
        <v>299</v>
      </c>
      <c r="F48" s="102" t="s">
        <v>299</v>
      </c>
      <c r="G48" s="102" t="s">
        <v>299</v>
      </c>
      <c r="H48" s="102" t="s">
        <v>299</v>
      </c>
      <c r="I48" s="102" t="s">
        <v>299</v>
      </c>
      <c r="J48" s="103" t="s">
        <v>299</v>
      </c>
    </row>
    <row r="49" spans="1:10" ht="22.5" customHeight="1">
      <c r="A49" s="364"/>
      <c r="B49" s="339"/>
      <c r="C49" s="343"/>
      <c r="D49" s="93" t="s">
        <v>18</v>
      </c>
      <c r="E49" s="88" t="s">
        <v>299</v>
      </c>
      <c r="F49" s="104" t="s">
        <v>299</v>
      </c>
      <c r="G49" s="104" t="s">
        <v>299</v>
      </c>
      <c r="H49" s="104" t="s">
        <v>299</v>
      </c>
      <c r="I49" s="104" t="s">
        <v>299</v>
      </c>
      <c r="J49" s="105" t="s">
        <v>299</v>
      </c>
    </row>
    <row r="50" spans="1:10" ht="22.5" customHeight="1">
      <c r="A50" s="364"/>
      <c r="B50" s="339"/>
      <c r="C50" s="343" t="s">
        <v>19</v>
      </c>
      <c r="D50" s="93" t="s">
        <v>16</v>
      </c>
      <c r="E50" s="88" t="s">
        <v>299</v>
      </c>
      <c r="F50" s="104" t="s">
        <v>299</v>
      </c>
      <c r="G50" s="104" t="s">
        <v>299</v>
      </c>
      <c r="H50" s="104" t="s">
        <v>299</v>
      </c>
      <c r="I50" s="104" t="s">
        <v>299</v>
      </c>
      <c r="J50" s="105" t="s">
        <v>299</v>
      </c>
    </row>
    <row r="51" spans="1:10" ht="22.5" customHeight="1">
      <c r="A51" s="364"/>
      <c r="B51" s="339"/>
      <c r="C51" s="343"/>
      <c r="D51" s="93" t="s">
        <v>20</v>
      </c>
      <c r="E51" s="88" t="s">
        <v>299</v>
      </c>
      <c r="F51" s="104" t="s">
        <v>299</v>
      </c>
      <c r="G51" s="104" t="s">
        <v>299</v>
      </c>
      <c r="H51" s="104" t="s">
        <v>299</v>
      </c>
      <c r="I51" s="104" t="s">
        <v>299</v>
      </c>
      <c r="J51" s="105" t="s">
        <v>299</v>
      </c>
    </row>
    <row r="52" spans="1:10" ht="22.5" customHeight="1">
      <c r="A52" s="364"/>
      <c r="B52" s="339"/>
      <c r="C52" s="343" t="s">
        <v>22</v>
      </c>
      <c r="D52" s="93" t="s">
        <v>16</v>
      </c>
      <c r="E52" s="88" t="s">
        <v>299</v>
      </c>
      <c r="F52" s="104" t="s">
        <v>299</v>
      </c>
      <c r="G52" s="104" t="s">
        <v>299</v>
      </c>
      <c r="H52" s="104" t="s">
        <v>299</v>
      </c>
      <c r="I52" s="104" t="s">
        <v>299</v>
      </c>
      <c r="J52" s="105" t="s">
        <v>299</v>
      </c>
    </row>
    <row r="53" spans="1:10" ht="22.5" customHeight="1">
      <c r="A53" s="364"/>
      <c r="B53" s="340"/>
      <c r="C53" s="343"/>
      <c r="D53" s="93" t="s">
        <v>18</v>
      </c>
      <c r="E53" s="88" t="s">
        <v>299</v>
      </c>
      <c r="F53" s="104" t="s">
        <v>299</v>
      </c>
      <c r="G53" s="104" t="s">
        <v>299</v>
      </c>
      <c r="H53" s="104" t="s">
        <v>299</v>
      </c>
      <c r="I53" s="104" t="s">
        <v>299</v>
      </c>
      <c r="J53" s="105" t="s">
        <v>299</v>
      </c>
    </row>
    <row r="54" spans="1:10" ht="22.5" customHeight="1">
      <c r="A54" s="364"/>
      <c r="B54" s="343" t="s">
        <v>152</v>
      </c>
      <c r="C54" s="343" t="s">
        <v>151</v>
      </c>
      <c r="D54" s="93" t="s">
        <v>16</v>
      </c>
      <c r="E54" s="88" t="s">
        <v>299</v>
      </c>
      <c r="F54" s="104" t="s">
        <v>299</v>
      </c>
      <c r="G54" s="104" t="s">
        <v>299</v>
      </c>
      <c r="H54" s="104" t="s">
        <v>299</v>
      </c>
      <c r="I54" s="104" t="s">
        <v>299</v>
      </c>
      <c r="J54" s="105" t="s">
        <v>299</v>
      </c>
    </row>
    <row r="55" spans="1:10" ht="22.5" customHeight="1">
      <c r="A55" s="364"/>
      <c r="B55" s="343"/>
      <c r="C55" s="343"/>
      <c r="D55" s="93" t="s">
        <v>18</v>
      </c>
      <c r="E55" s="88" t="s">
        <v>299</v>
      </c>
      <c r="F55" s="104" t="s">
        <v>299</v>
      </c>
      <c r="G55" s="104" t="s">
        <v>299</v>
      </c>
      <c r="H55" s="104" t="s">
        <v>299</v>
      </c>
      <c r="I55" s="104" t="s">
        <v>299</v>
      </c>
      <c r="J55" s="105" t="s">
        <v>299</v>
      </c>
    </row>
    <row r="56" spans="1:10" ht="22.5" customHeight="1">
      <c r="A56" s="364"/>
      <c r="B56" s="343" t="s">
        <v>150</v>
      </c>
      <c r="C56" s="343" t="s">
        <v>151</v>
      </c>
      <c r="D56" s="93" t="s">
        <v>16</v>
      </c>
      <c r="E56" s="88" t="s">
        <v>299</v>
      </c>
      <c r="F56" s="104" t="s">
        <v>299</v>
      </c>
      <c r="G56" s="104" t="s">
        <v>299</v>
      </c>
      <c r="H56" s="104" t="s">
        <v>299</v>
      </c>
      <c r="I56" s="104" t="s">
        <v>299</v>
      </c>
      <c r="J56" s="105" t="s">
        <v>299</v>
      </c>
    </row>
    <row r="57" spans="1:10" ht="22.5" customHeight="1" thickBot="1">
      <c r="A57" s="365"/>
      <c r="B57" s="344"/>
      <c r="C57" s="344"/>
      <c r="D57" s="94" t="s">
        <v>20</v>
      </c>
      <c r="E57" s="89" t="s">
        <v>299</v>
      </c>
      <c r="F57" s="106" t="s">
        <v>299</v>
      </c>
      <c r="G57" s="106" t="s">
        <v>299</v>
      </c>
      <c r="H57" s="106" t="s">
        <v>299</v>
      </c>
      <c r="I57" s="106" t="s">
        <v>299</v>
      </c>
      <c r="J57" s="107" t="s">
        <v>299</v>
      </c>
    </row>
    <row r="58" spans="1:10">
      <c r="A58" s="30"/>
    </row>
    <row r="59" spans="1:10">
      <c r="A59" s="30"/>
    </row>
    <row r="61" spans="1:10">
      <c r="A61" s="2" t="s">
        <v>5</v>
      </c>
    </row>
    <row r="62" spans="1:10" ht="12.75" thickBot="1">
      <c r="A62" s="342" t="s">
        <v>114</v>
      </c>
      <c r="B62" s="342"/>
      <c r="C62" s="342"/>
      <c r="D62" s="342"/>
      <c r="E62" s="342"/>
      <c r="F62" s="342"/>
      <c r="G62" s="342"/>
      <c r="H62" s="342"/>
      <c r="I62" s="342"/>
    </row>
    <row r="63" spans="1:10" ht="13.5" customHeight="1">
      <c r="A63" s="316" t="s">
        <v>111</v>
      </c>
      <c r="B63" s="317"/>
      <c r="C63" s="317"/>
      <c r="D63" s="317"/>
      <c r="E63" s="317"/>
      <c r="F63" s="317"/>
      <c r="G63" s="317"/>
      <c r="H63" s="317"/>
      <c r="I63" s="317"/>
      <c r="J63" s="318"/>
    </row>
    <row r="64" spans="1:10" ht="13.5" customHeight="1">
      <c r="A64" s="319"/>
      <c r="B64" s="320"/>
      <c r="C64" s="320"/>
      <c r="D64" s="320"/>
      <c r="E64" s="320"/>
      <c r="F64" s="320"/>
      <c r="G64" s="320"/>
      <c r="H64" s="320"/>
      <c r="I64" s="320"/>
      <c r="J64" s="321"/>
    </row>
    <row r="65" spans="1:10" ht="13.5" customHeight="1">
      <c r="A65" s="319"/>
      <c r="B65" s="320"/>
      <c r="C65" s="320"/>
      <c r="D65" s="320"/>
      <c r="E65" s="320"/>
      <c r="F65" s="320"/>
      <c r="G65" s="320"/>
      <c r="H65" s="320"/>
      <c r="I65" s="320"/>
      <c r="J65" s="321"/>
    </row>
    <row r="66" spans="1:10" ht="13.5" customHeight="1">
      <c r="A66" s="319"/>
      <c r="B66" s="320"/>
      <c r="C66" s="320"/>
      <c r="D66" s="320"/>
      <c r="E66" s="320"/>
      <c r="F66" s="320"/>
      <c r="G66" s="320"/>
      <c r="H66" s="320"/>
      <c r="I66" s="320"/>
      <c r="J66" s="321"/>
    </row>
    <row r="67" spans="1:10" ht="13.5" customHeight="1">
      <c r="A67" s="319"/>
      <c r="B67" s="320"/>
      <c r="C67" s="320"/>
      <c r="D67" s="320"/>
      <c r="E67" s="320"/>
      <c r="F67" s="320"/>
      <c r="G67" s="320"/>
      <c r="H67" s="320"/>
      <c r="I67" s="320"/>
      <c r="J67" s="321"/>
    </row>
    <row r="68" spans="1:10" ht="13.5" customHeight="1">
      <c r="A68" s="319"/>
      <c r="B68" s="320"/>
      <c r="C68" s="320"/>
      <c r="D68" s="320"/>
      <c r="E68" s="320"/>
      <c r="F68" s="320"/>
      <c r="G68" s="320"/>
      <c r="H68" s="320"/>
      <c r="I68" s="320"/>
      <c r="J68" s="321"/>
    </row>
    <row r="69" spans="1:10" ht="13.5" customHeight="1">
      <c r="A69" s="319"/>
      <c r="B69" s="320"/>
      <c r="C69" s="320"/>
      <c r="D69" s="320"/>
      <c r="E69" s="320"/>
      <c r="F69" s="320"/>
      <c r="G69" s="320"/>
      <c r="H69" s="320"/>
      <c r="I69" s="320"/>
      <c r="J69" s="321"/>
    </row>
    <row r="70" spans="1:10" ht="13.5" customHeight="1">
      <c r="A70" s="319"/>
      <c r="B70" s="320"/>
      <c r="C70" s="320"/>
      <c r="D70" s="320"/>
      <c r="E70" s="320"/>
      <c r="F70" s="320"/>
      <c r="G70" s="320"/>
      <c r="H70" s="320"/>
      <c r="I70" s="320"/>
      <c r="J70" s="321"/>
    </row>
    <row r="71" spans="1:10" ht="13.5" customHeight="1">
      <c r="A71" s="319"/>
      <c r="B71" s="320"/>
      <c r="C71" s="320"/>
      <c r="D71" s="320"/>
      <c r="E71" s="320"/>
      <c r="F71" s="320"/>
      <c r="G71" s="320"/>
      <c r="H71" s="320"/>
      <c r="I71" s="320"/>
      <c r="J71" s="321"/>
    </row>
    <row r="72" spans="1:10" ht="13.5" customHeight="1">
      <c r="A72" s="319"/>
      <c r="B72" s="320"/>
      <c r="C72" s="320"/>
      <c r="D72" s="320"/>
      <c r="E72" s="320"/>
      <c r="F72" s="320"/>
      <c r="G72" s="320"/>
      <c r="H72" s="320"/>
      <c r="I72" s="320"/>
      <c r="J72" s="321"/>
    </row>
    <row r="73" spans="1:10" ht="13.5" customHeight="1">
      <c r="A73" s="319"/>
      <c r="B73" s="320"/>
      <c r="C73" s="320"/>
      <c r="D73" s="320"/>
      <c r="E73" s="320"/>
      <c r="F73" s="320"/>
      <c r="G73" s="320"/>
      <c r="H73" s="320"/>
      <c r="I73" s="320"/>
      <c r="J73" s="321"/>
    </row>
    <row r="74" spans="1:10" ht="13.5" customHeight="1">
      <c r="A74" s="319"/>
      <c r="B74" s="320"/>
      <c r="C74" s="320"/>
      <c r="D74" s="320"/>
      <c r="E74" s="320"/>
      <c r="F74" s="320"/>
      <c r="G74" s="320"/>
      <c r="H74" s="320"/>
      <c r="I74" s="320"/>
      <c r="J74" s="321"/>
    </row>
    <row r="75" spans="1:10" ht="13.5" customHeight="1">
      <c r="A75" s="319"/>
      <c r="B75" s="320"/>
      <c r="C75" s="320"/>
      <c r="D75" s="320"/>
      <c r="E75" s="320"/>
      <c r="F75" s="320"/>
      <c r="G75" s="320"/>
      <c r="H75" s="320"/>
      <c r="I75" s="320"/>
      <c r="J75" s="321"/>
    </row>
    <row r="76" spans="1:10" ht="13.5" customHeight="1">
      <c r="A76" s="319"/>
      <c r="B76" s="320"/>
      <c r="C76" s="320"/>
      <c r="D76" s="320"/>
      <c r="E76" s="320"/>
      <c r="F76" s="320"/>
      <c r="G76" s="320"/>
      <c r="H76" s="320"/>
      <c r="I76" s="320"/>
      <c r="J76" s="321"/>
    </row>
    <row r="77" spans="1:10" ht="13.5" customHeight="1">
      <c r="A77" s="319"/>
      <c r="B77" s="320"/>
      <c r="C77" s="320"/>
      <c r="D77" s="320"/>
      <c r="E77" s="320"/>
      <c r="F77" s="320"/>
      <c r="G77" s="320"/>
      <c r="H77" s="320"/>
      <c r="I77" s="320"/>
      <c r="J77" s="321"/>
    </row>
    <row r="78" spans="1:10" ht="13.5" customHeight="1" thickBot="1">
      <c r="A78" s="322"/>
      <c r="B78" s="323"/>
      <c r="C78" s="323"/>
      <c r="D78" s="323"/>
      <c r="E78" s="323"/>
      <c r="F78" s="323"/>
      <c r="G78" s="323"/>
      <c r="H78" s="323"/>
      <c r="I78" s="323"/>
      <c r="J78" s="324"/>
    </row>
    <row r="80" spans="1:10" ht="12.75" thickBot="1">
      <c r="A80" s="1" t="s">
        <v>110</v>
      </c>
    </row>
    <row r="81" spans="1:10" ht="13.5" customHeight="1">
      <c r="A81" s="316" t="s">
        <v>111</v>
      </c>
      <c r="B81" s="317"/>
      <c r="C81" s="317"/>
      <c r="D81" s="317"/>
      <c r="E81" s="317"/>
      <c r="F81" s="317"/>
      <c r="G81" s="317"/>
      <c r="H81" s="317"/>
      <c r="I81" s="317"/>
      <c r="J81" s="318"/>
    </row>
    <row r="82" spans="1:10" ht="13.5" customHeight="1">
      <c r="A82" s="319"/>
      <c r="B82" s="320"/>
      <c r="C82" s="320"/>
      <c r="D82" s="320"/>
      <c r="E82" s="320"/>
      <c r="F82" s="320"/>
      <c r="G82" s="320"/>
      <c r="H82" s="320"/>
      <c r="I82" s="320"/>
      <c r="J82" s="321"/>
    </row>
    <row r="83" spans="1:10" ht="13.5" customHeight="1">
      <c r="A83" s="319"/>
      <c r="B83" s="320"/>
      <c r="C83" s="320"/>
      <c r="D83" s="320"/>
      <c r="E83" s="320"/>
      <c r="F83" s="320"/>
      <c r="G83" s="320"/>
      <c r="H83" s="320"/>
      <c r="I83" s="320"/>
      <c r="J83" s="321"/>
    </row>
    <row r="84" spans="1:10" ht="13.5" customHeight="1">
      <c r="A84" s="319"/>
      <c r="B84" s="320"/>
      <c r="C84" s="320"/>
      <c r="D84" s="320"/>
      <c r="E84" s="320"/>
      <c r="F84" s="320"/>
      <c r="G84" s="320"/>
      <c r="H84" s="320"/>
      <c r="I84" s="320"/>
      <c r="J84" s="321"/>
    </row>
    <row r="85" spans="1:10" ht="13.5" customHeight="1">
      <c r="A85" s="319"/>
      <c r="B85" s="320"/>
      <c r="C85" s="320"/>
      <c r="D85" s="320"/>
      <c r="E85" s="320"/>
      <c r="F85" s="320"/>
      <c r="G85" s="320"/>
      <c r="H85" s="320"/>
      <c r="I85" s="320"/>
      <c r="J85" s="321"/>
    </row>
    <row r="86" spans="1:10" ht="13.5" customHeight="1">
      <c r="A86" s="319"/>
      <c r="B86" s="320"/>
      <c r="C86" s="320"/>
      <c r="D86" s="320"/>
      <c r="E86" s="320"/>
      <c r="F86" s="320"/>
      <c r="G86" s="320"/>
      <c r="H86" s="320"/>
      <c r="I86" s="320"/>
      <c r="J86" s="321"/>
    </row>
    <row r="87" spans="1:10" ht="13.5" customHeight="1">
      <c r="A87" s="319"/>
      <c r="B87" s="320"/>
      <c r="C87" s="320"/>
      <c r="D87" s="320"/>
      <c r="E87" s="320"/>
      <c r="F87" s="320"/>
      <c r="G87" s="320"/>
      <c r="H87" s="320"/>
      <c r="I87" s="320"/>
      <c r="J87" s="321"/>
    </row>
    <row r="88" spans="1:10" ht="13.5" customHeight="1">
      <c r="A88" s="319"/>
      <c r="B88" s="320"/>
      <c r="C88" s="320"/>
      <c r="D88" s="320"/>
      <c r="E88" s="320"/>
      <c r="F88" s="320"/>
      <c r="G88" s="320"/>
      <c r="H88" s="320"/>
      <c r="I88" s="320"/>
      <c r="J88" s="321"/>
    </row>
    <row r="89" spans="1:10" ht="13.5" customHeight="1">
      <c r="A89" s="319"/>
      <c r="B89" s="320"/>
      <c r="C89" s="320"/>
      <c r="D89" s="320"/>
      <c r="E89" s="320"/>
      <c r="F89" s="320"/>
      <c r="G89" s="320"/>
      <c r="H89" s="320"/>
      <c r="I89" s="320"/>
      <c r="J89" s="321"/>
    </row>
    <row r="90" spans="1:10" ht="13.5" customHeight="1">
      <c r="A90" s="319"/>
      <c r="B90" s="320"/>
      <c r="C90" s="320"/>
      <c r="D90" s="320"/>
      <c r="E90" s="320"/>
      <c r="F90" s="320"/>
      <c r="G90" s="320"/>
      <c r="H90" s="320"/>
      <c r="I90" s="320"/>
      <c r="J90" s="321"/>
    </row>
    <row r="91" spans="1:10" ht="13.5" customHeight="1">
      <c r="A91" s="319"/>
      <c r="B91" s="320"/>
      <c r="C91" s="320"/>
      <c r="D91" s="320"/>
      <c r="E91" s="320"/>
      <c r="F91" s="320"/>
      <c r="G91" s="320"/>
      <c r="H91" s="320"/>
      <c r="I91" s="320"/>
      <c r="J91" s="321"/>
    </row>
    <row r="92" spans="1:10" ht="13.5" customHeight="1">
      <c r="A92" s="319"/>
      <c r="B92" s="320"/>
      <c r="C92" s="320"/>
      <c r="D92" s="320"/>
      <c r="E92" s="320"/>
      <c r="F92" s="320"/>
      <c r="G92" s="320"/>
      <c r="H92" s="320"/>
      <c r="I92" s="320"/>
      <c r="J92" s="321"/>
    </row>
    <row r="93" spans="1:10" ht="13.5" customHeight="1">
      <c r="A93" s="319"/>
      <c r="B93" s="320"/>
      <c r="C93" s="320"/>
      <c r="D93" s="320"/>
      <c r="E93" s="320"/>
      <c r="F93" s="320"/>
      <c r="G93" s="320"/>
      <c r="H93" s="320"/>
      <c r="I93" s="320"/>
      <c r="J93" s="321"/>
    </row>
    <row r="94" spans="1:10" ht="13.5" customHeight="1">
      <c r="A94" s="319"/>
      <c r="B94" s="320"/>
      <c r="C94" s="320"/>
      <c r="D94" s="320"/>
      <c r="E94" s="320"/>
      <c r="F94" s="320"/>
      <c r="G94" s="320"/>
      <c r="H94" s="320"/>
      <c r="I94" s="320"/>
      <c r="J94" s="321"/>
    </row>
    <row r="95" spans="1:10" ht="13.5" customHeight="1">
      <c r="A95" s="319"/>
      <c r="B95" s="320"/>
      <c r="C95" s="320"/>
      <c r="D95" s="320"/>
      <c r="E95" s="320"/>
      <c r="F95" s="320"/>
      <c r="G95" s="320"/>
      <c r="H95" s="320"/>
      <c r="I95" s="320"/>
      <c r="J95" s="321"/>
    </row>
    <row r="96" spans="1:10" ht="13.5" customHeight="1" thickBot="1">
      <c r="A96" s="322"/>
      <c r="B96" s="323"/>
      <c r="C96" s="323"/>
      <c r="D96" s="323"/>
      <c r="E96" s="323"/>
      <c r="F96" s="323"/>
      <c r="G96" s="323"/>
      <c r="H96" s="323"/>
      <c r="I96" s="323"/>
      <c r="J96" s="324"/>
    </row>
    <row r="98" spans="1:10" ht="12.75" thickBot="1">
      <c r="A98" s="1" t="s">
        <v>230</v>
      </c>
      <c r="B98" s="1" t="s">
        <v>231</v>
      </c>
      <c r="C98" s="101" t="s">
        <v>299</v>
      </c>
    </row>
    <row r="99" spans="1:10">
      <c r="A99" s="316" t="s">
        <v>232</v>
      </c>
      <c r="B99" s="317"/>
      <c r="C99" s="317"/>
      <c r="D99" s="317"/>
      <c r="E99" s="317"/>
      <c r="F99" s="317"/>
      <c r="G99" s="317"/>
      <c r="H99" s="317"/>
      <c r="I99" s="317"/>
      <c r="J99" s="318"/>
    </row>
    <row r="100" spans="1:10">
      <c r="A100" s="319"/>
      <c r="B100" s="320"/>
      <c r="C100" s="320"/>
      <c r="D100" s="320"/>
      <c r="E100" s="320"/>
      <c r="F100" s="320"/>
      <c r="G100" s="320"/>
      <c r="H100" s="320"/>
      <c r="I100" s="320"/>
      <c r="J100" s="321"/>
    </row>
    <row r="101" spans="1:10">
      <c r="A101" s="319"/>
      <c r="B101" s="320"/>
      <c r="C101" s="320"/>
      <c r="D101" s="320"/>
      <c r="E101" s="320"/>
      <c r="F101" s="320"/>
      <c r="G101" s="320"/>
      <c r="H101" s="320"/>
      <c r="I101" s="320"/>
      <c r="J101" s="321"/>
    </row>
    <row r="102" spans="1:10">
      <c r="A102" s="319"/>
      <c r="B102" s="320"/>
      <c r="C102" s="320"/>
      <c r="D102" s="320"/>
      <c r="E102" s="320"/>
      <c r="F102" s="320"/>
      <c r="G102" s="320"/>
      <c r="H102" s="320"/>
      <c r="I102" s="320"/>
      <c r="J102" s="321"/>
    </row>
    <row r="103" spans="1:10">
      <c r="A103" s="319"/>
      <c r="B103" s="320"/>
      <c r="C103" s="320"/>
      <c r="D103" s="320"/>
      <c r="E103" s="320"/>
      <c r="F103" s="320"/>
      <c r="G103" s="320"/>
      <c r="H103" s="320"/>
      <c r="I103" s="320"/>
      <c r="J103" s="321"/>
    </row>
    <row r="104" spans="1:10">
      <c r="A104" s="319"/>
      <c r="B104" s="320"/>
      <c r="C104" s="320"/>
      <c r="D104" s="320"/>
      <c r="E104" s="320"/>
      <c r="F104" s="320"/>
      <c r="G104" s="320"/>
      <c r="H104" s="320"/>
      <c r="I104" s="320"/>
      <c r="J104" s="321"/>
    </row>
    <row r="105" spans="1:10">
      <c r="A105" s="319"/>
      <c r="B105" s="320"/>
      <c r="C105" s="320"/>
      <c r="D105" s="320"/>
      <c r="E105" s="320"/>
      <c r="F105" s="320"/>
      <c r="G105" s="320"/>
      <c r="H105" s="320"/>
      <c r="I105" s="320"/>
      <c r="J105" s="321"/>
    </row>
    <row r="106" spans="1:10">
      <c r="A106" s="319"/>
      <c r="B106" s="320"/>
      <c r="C106" s="320"/>
      <c r="D106" s="320"/>
      <c r="E106" s="320"/>
      <c r="F106" s="320"/>
      <c r="G106" s="320"/>
      <c r="H106" s="320"/>
      <c r="I106" s="320"/>
      <c r="J106" s="321"/>
    </row>
    <row r="107" spans="1:10">
      <c r="A107" s="319"/>
      <c r="B107" s="320"/>
      <c r="C107" s="320"/>
      <c r="D107" s="320"/>
      <c r="E107" s="320"/>
      <c r="F107" s="320"/>
      <c r="G107" s="320"/>
      <c r="H107" s="320"/>
      <c r="I107" s="320"/>
      <c r="J107" s="321"/>
    </row>
    <row r="108" spans="1:10">
      <c r="A108" s="319"/>
      <c r="B108" s="320"/>
      <c r="C108" s="320"/>
      <c r="D108" s="320"/>
      <c r="E108" s="320"/>
      <c r="F108" s="320"/>
      <c r="G108" s="320"/>
      <c r="H108" s="320"/>
      <c r="I108" s="320"/>
      <c r="J108" s="321"/>
    </row>
    <row r="109" spans="1:10">
      <c r="A109" s="319"/>
      <c r="B109" s="320"/>
      <c r="C109" s="320"/>
      <c r="D109" s="320"/>
      <c r="E109" s="320"/>
      <c r="F109" s="320"/>
      <c r="G109" s="320"/>
      <c r="H109" s="320"/>
      <c r="I109" s="320"/>
      <c r="J109" s="321"/>
    </row>
    <row r="110" spans="1:10">
      <c r="A110" s="319"/>
      <c r="B110" s="320"/>
      <c r="C110" s="320"/>
      <c r="D110" s="320"/>
      <c r="E110" s="320"/>
      <c r="F110" s="320"/>
      <c r="G110" s="320"/>
      <c r="H110" s="320"/>
      <c r="I110" s="320"/>
      <c r="J110" s="321"/>
    </row>
    <row r="111" spans="1:10">
      <c r="A111" s="319"/>
      <c r="B111" s="320"/>
      <c r="C111" s="320"/>
      <c r="D111" s="320"/>
      <c r="E111" s="320"/>
      <c r="F111" s="320"/>
      <c r="G111" s="320"/>
      <c r="H111" s="320"/>
      <c r="I111" s="320"/>
      <c r="J111" s="321"/>
    </row>
    <row r="112" spans="1:10">
      <c r="A112" s="319"/>
      <c r="B112" s="320"/>
      <c r="C112" s="320"/>
      <c r="D112" s="320"/>
      <c r="E112" s="320"/>
      <c r="F112" s="320"/>
      <c r="G112" s="320"/>
      <c r="H112" s="320"/>
      <c r="I112" s="320"/>
      <c r="J112" s="321"/>
    </row>
    <row r="113" spans="1:10">
      <c r="A113" s="319"/>
      <c r="B113" s="320"/>
      <c r="C113" s="320"/>
      <c r="D113" s="320"/>
      <c r="E113" s="320"/>
      <c r="F113" s="320"/>
      <c r="G113" s="320"/>
      <c r="H113" s="320"/>
      <c r="I113" s="320"/>
      <c r="J113" s="321"/>
    </row>
    <row r="114" spans="1:10" ht="12.75" thickBot="1">
      <c r="A114" s="322"/>
      <c r="B114" s="323"/>
      <c r="C114" s="323"/>
      <c r="D114" s="323"/>
      <c r="E114" s="323"/>
      <c r="F114" s="323"/>
      <c r="G114" s="323"/>
      <c r="H114" s="323"/>
      <c r="I114" s="323"/>
      <c r="J114" s="324"/>
    </row>
  </sheetData>
  <mergeCells count="93">
    <mergeCell ref="H7:J7"/>
    <mergeCell ref="C10:E10"/>
    <mergeCell ref="E34:F34"/>
    <mergeCell ref="E24:F24"/>
    <mergeCell ref="E25:F25"/>
    <mergeCell ref="E26:F26"/>
    <mergeCell ref="E28:F28"/>
    <mergeCell ref="C33:D33"/>
    <mergeCell ref="C28:D28"/>
    <mergeCell ref="C30:D30"/>
    <mergeCell ref="C32:D32"/>
    <mergeCell ref="C14:D15"/>
    <mergeCell ref="E22:F22"/>
    <mergeCell ref="E23:F23"/>
    <mergeCell ref="C16:D16"/>
    <mergeCell ref="C22:D22"/>
    <mergeCell ref="C23:D23"/>
    <mergeCell ref="E16:F16"/>
    <mergeCell ref="E17:F17"/>
    <mergeCell ref="E18:F18"/>
    <mergeCell ref="E19:F19"/>
    <mergeCell ref="E21:F21"/>
    <mergeCell ref="C21:D21"/>
    <mergeCell ref="C24:D24"/>
    <mergeCell ref="C25:D25"/>
    <mergeCell ref="C26:D26"/>
    <mergeCell ref="E30:F30"/>
    <mergeCell ref="E40:E41"/>
    <mergeCell ref="F40:J40"/>
    <mergeCell ref="A40:D41"/>
    <mergeCell ref="C37:D37"/>
    <mergeCell ref="E37:F37"/>
    <mergeCell ref="E32:F32"/>
    <mergeCell ref="E33:F33"/>
    <mergeCell ref="C34:D34"/>
    <mergeCell ref="E36:F36"/>
    <mergeCell ref="C36:D36"/>
    <mergeCell ref="A1:J1"/>
    <mergeCell ref="F7:G7"/>
    <mergeCell ref="H10:J10"/>
    <mergeCell ref="H8:J8"/>
    <mergeCell ref="F8:G8"/>
    <mergeCell ref="F10:G10"/>
    <mergeCell ref="C7:E7"/>
    <mergeCell ref="B3:J3"/>
    <mergeCell ref="B4:J4"/>
    <mergeCell ref="C8:E8"/>
    <mergeCell ref="A7:B7"/>
    <mergeCell ref="A8:B8"/>
    <mergeCell ref="C9:E9"/>
    <mergeCell ref="F9:G9"/>
    <mergeCell ref="H9:J9"/>
    <mergeCell ref="A9:A10"/>
    <mergeCell ref="A81:J96"/>
    <mergeCell ref="C48:C49"/>
    <mergeCell ref="C50:C51"/>
    <mergeCell ref="B56:B57"/>
    <mergeCell ref="C56:C57"/>
    <mergeCell ref="A48:A57"/>
    <mergeCell ref="E62:I62"/>
    <mergeCell ref="A63:J78"/>
    <mergeCell ref="B54:B55"/>
    <mergeCell ref="C54:C55"/>
    <mergeCell ref="C52:C53"/>
    <mergeCell ref="B48:B53"/>
    <mergeCell ref="A11:B11"/>
    <mergeCell ref="C11:E11"/>
    <mergeCell ref="F11:G11"/>
    <mergeCell ref="H11:J11"/>
    <mergeCell ref="C20:D20"/>
    <mergeCell ref="E20:F20"/>
    <mergeCell ref="A14:A15"/>
    <mergeCell ref="B14:B15"/>
    <mergeCell ref="C17:D17"/>
    <mergeCell ref="C18:D18"/>
    <mergeCell ref="C19:D19"/>
    <mergeCell ref="E14:G15"/>
    <mergeCell ref="A99:J114"/>
    <mergeCell ref="C27:D27"/>
    <mergeCell ref="C29:D29"/>
    <mergeCell ref="C31:D31"/>
    <mergeCell ref="C35:D35"/>
    <mergeCell ref="E35:F35"/>
    <mergeCell ref="E27:F27"/>
    <mergeCell ref="E29:F29"/>
    <mergeCell ref="E31:F31"/>
    <mergeCell ref="A42:A47"/>
    <mergeCell ref="B42:B45"/>
    <mergeCell ref="C42:C43"/>
    <mergeCell ref="C44:C45"/>
    <mergeCell ref="A62:D62"/>
    <mergeCell ref="C46:C47"/>
    <mergeCell ref="B46:B47"/>
  </mergeCells>
  <phoneticPr fontId="2" type="noConversion"/>
  <dataValidations count="5">
    <dataValidation type="list" allowBlank="1" showInputMessage="1" showErrorMessage="1" sqref="H10:J10">
      <formula1>"가변용량, 2단가변,고정용량"</formula1>
    </dataValidation>
    <dataValidation type="list" allowBlank="1" showInputMessage="1" showErrorMessage="1" sqref="H9:J9">
      <formula1>"단상 220V 60Hz, 3상 380V 60Hz, 3상 220V 60Hz"</formula1>
    </dataValidation>
    <dataValidation type="list" allowBlank="1" showInputMessage="1" showErrorMessage="1" sqref="H8:J8">
      <formula1>"4 kW 이하, 4~10 kW, 10~17 kW, 23 kW 이하"</formula1>
    </dataValidation>
    <dataValidation type="list" allowBlank="1" showInputMessage="1" showErrorMessage="1" sqref="H7:J7">
      <formula1>"분리형, 일체형"</formula1>
    </dataValidation>
    <dataValidation type="list" allowBlank="1" showInputMessage="1" showErrorMessage="1" sqref="C11:E11">
      <formula1>"네트워크제품, 일반제품, 옵션제품"</formula1>
    </dataValidation>
  </dataValidations>
  <pageMargins left="0.74803149606299213" right="0.74803149606299213" top="0.39370078740157483" bottom="0.39370078740157483" header="0.39370078740157483" footer="0.39370078740157483"/>
  <pageSetup paperSize="9" scale="8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zoomScaleNormal="100" workbookViewId="0">
      <selection activeCell="B16" sqref="B16"/>
    </sheetView>
  </sheetViews>
  <sheetFormatPr defaultRowHeight="12"/>
  <cols>
    <col min="1" max="1" width="25.5546875" style="34" customWidth="1"/>
    <col min="2" max="2" width="8.88671875" style="34" customWidth="1"/>
    <col min="3" max="3" width="14.88671875" style="34" customWidth="1"/>
    <col min="4" max="5" width="11.109375" style="34" customWidth="1"/>
    <col min="6" max="6" width="14.88671875" style="34" customWidth="1"/>
    <col min="7" max="8" width="7.77734375" style="34" customWidth="1"/>
    <col min="9" max="9" width="12.77734375" style="34" customWidth="1"/>
    <col min="10" max="16384" width="8.88671875" style="34"/>
  </cols>
  <sheetData>
    <row r="1" spans="1:9" ht="60" customHeight="1" thickBot="1">
      <c r="A1" s="459" t="s">
        <v>153</v>
      </c>
      <c r="B1" s="460"/>
      <c r="C1" s="460"/>
      <c r="D1" s="460"/>
      <c r="E1" s="460"/>
      <c r="F1" s="460"/>
      <c r="G1" s="460"/>
      <c r="H1" s="460"/>
      <c r="I1" s="461"/>
    </row>
    <row r="2" spans="1:9" ht="12.75" thickBot="1"/>
    <row r="3" spans="1:9" ht="13.5" customHeight="1">
      <c r="A3" s="257" t="s">
        <v>28</v>
      </c>
      <c r="B3" s="470" t="str">
        <f>Input!B3</f>
        <v>효율관리기자재 운용규정(산업통상자원부 고시)</v>
      </c>
      <c r="C3" s="471"/>
      <c r="D3" s="471"/>
      <c r="E3" s="471"/>
      <c r="F3" s="471"/>
      <c r="G3" s="471"/>
      <c r="H3" s="471"/>
      <c r="I3" s="472"/>
    </row>
    <row r="4" spans="1:9" ht="14.25" customHeight="1" thickBot="1">
      <c r="A4" s="258" t="s">
        <v>29</v>
      </c>
      <c r="B4" s="473" t="str">
        <f>Input!B4</f>
        <v>KS C 9306 : 에어컨디셔너</v>
      </c>
      <c r="C4" s="474"/>
      <c r="D4" s="474"/>
      <c r="E4" s="474"/>
      <c r="F4" s="474"/>
      <c r="G4" s="474"/>
      <c r="H4" s="474"/>
      <c r="I4" s="475"/>
    </row>
    <row r="6" spans="1:9" ht="15.95" customHeight="1" thickBot="1">
      <c r="A6" s="259" t="s">
        <v>199</v>
      </c>
      <c r="H6" s="260"/>
    </row>
    <row r="7" spans="1:9" ht="15.95" customHeight="1">
      <c r="A7" s="476" t="s">
        <v>109</v>
      </c>
      <c r="B7" s="463"/>
      <c r="C7" s="464" t="str">
        <f>Input!C7</f>
        <v>"직접입력"</v>
      </c>
      <c r="D7" s="465"/>
      <c r="E7" s="462" t="s">
        <v>157</v>
      </c>
      <c r="F7" s="463"/>
      <c r="G7" s="464" t="str">
        <f>Input!H7</f>
        <v>분리형</v>
      </c>
      <c r="H7" s="464"/>
      <c r="I7" s="465"/>
    </row>
    <row r="8" spans="1:9" ht="15.95" customHeight="1">
      <c r="A8" s="477" t="s">
        <v>13</v>
      </c>
      <c r="B8" s="467"/>
      <c r="C8" s="468" t="str">
        <f>Input!C8</f>
        <v>"직접입력"</v>
      </c>
      <c r="D8" s="469"/>
      <c r="E8" s="466" t="s">
        <v>33</v>
      </c>
      <c r="F8" s="467"/>
      <c r="G8" s="468" t="str">
        <f>Input!H8</f>
        <v>4~10 kW</v>
      </c>
      <c r="H8" s="468"/>
      <c r="I8" s="469"/>
    </row>
    <row r="9" spans="1:9" ht="15.95" customHeight="1">
      <c r="A9" s="477" t="s">
        <v>154</v>
      </c>
      <c r="B9" s="261" t="s">
        <v>155</v>
      </c>
      <c r="C9" s="468" t="str">
        <f>Input!C9</f>
        <v>"직접입력"</v>
      </c>
      <c r="D9" s="469"/>
      <c r="E9" s="466" t="s">
        <v>3</v>
      </c>
      <c r="F9" s="467"/>
      <c r="G9" s="468" t="str">
        <f>Input!H9</f>
        <v>단상 220V 60Hz</v>
      </c>
      <c r="H9" s="468"/>
      <c r="I9" s="469"/>
    </row>
    <row r="10" spans="1:9" ht="15.95" customHeight="1">
      <c r="A10" s="477"/>
      <c r="B10" s="261" t="s">
        <v>156</v>
      </c>
      <c r="C10" s="468" t="str">
        <f>Input!C10</f>
        <v>"직접입력"</v>
      </c>
      <c r="D10" s="469"/>
      <c r="E10" s="466" t="s">
        <v>4</v>
      </c>
      <c r="F10" s="467"/>
      <c r="G10" s="468" t="str">
        <f>Input!H10</f>
        <v>가변용량</v>
      </c>
      <c r="H10" s="468"/>
      <c r="I10" s="469"/>
    </row>
    <row r="11" spans="1:9" ht="15.95" customHeight="1" thickBot="1">
      <c r="A11" s="486" t="s">
        <v>226</v>
      </c>
      <c r="B11" s="487"/>
      <c r="C11" s="488" t="str">
        <f>Input!C11</f>
        <v>일반제품</v>
      </c>
      <c r="D11" s="489"/>
      <c r="E11" s="490" t="s">
        <v>227</v>
      </c>
      <c r="F11" s="487"/>
      <c r="G11" s="488" t="str">
        <f>Input!H11</f>
        <v>수동대기</v>
      </c>
      <c r="H11" s="488"/>
      <c r="I11" s="489"/>
    </row>
    <row r="12" spans="1:9" ht="15.95" customHeight="1">
      <c r="A12" s="262"/>
      <c r="B12" s="262"/>
      <c r="C12" s="262"/>
      <c r="D12" s="262"/>
      <c r="E12" s="262"/>
      <c r="F12" s="262"/>
      <c r="G12" s="262"/>
      <c r="H12" s="262"/>
      <c r="I12" s="262"/>
    </row>
    <row r="13" spans="1:9" ht="15.95" customHeight="1" thickBot="1">
      <c r="A13" s="259" t="s">
        <v>200</v>
      </c>
    </row>
    <row r="14" spans="1:9" ht="15.95" customHeight="1" thickBot="1">
      <c r="A14" s="263" t="s">
        <v>201</v>
      </c>
      <c r="B14" s="264" t="s">
        <v>202</v>
      </c>
      <c r="C14" s="481" t="s">
        <v>203</v>
      </c>
      <c r="D14" s="481"/>
      <c r="E14" s="265" t="s">
        <v>222</v>
      </c>
      <c r="F14" s="478" t="s">
        <v>204</v>
      </c>
      <c r="G14" s="478"/>
      <c r="H14" s="479" t="s">
        <v>205</v>
      </c>
      <c r="I14" s="480"/>
    </row>
    <row r="15" spans="1:9" ht="15.95" customHeight="1">
      <c r="A15" s="266" t="s">
        <v>115</v>
      </c>
      <c r="B15" s="267" t="s">
        <v>116</v>
      </c>
      <c r="C15" s="491" t="str">
        <f>Input!C16</f>
        <v>"직접입력"</v>
      </c>
      <c r="D15" s="491"/>
      <c r="E15" s="268"/>
      <c r="F15" s="483" t="s">
        <v>206</v>
      </c>
      <c r="G15" s="483"/>
      <c r="H15" s="484" t="s">
        <v>207</v>
      </c>
      <c r="I15" s="485"/>
    </row>
    <row r="16" spans="1:9" ht="15.95" customHeight="1">
      <c r="A16" s="269" t="s">
        <v>117</v>
      </c>
      <c r="B16" s="270" t="s">
        <v>208</v>
      </c>
      <c r="C16" s="482" t="str">
        <f>Input!E16</f>
        <v>"결과입력"</v>
      </c>
      <c r="D16" s="482"/>
      <c r="E16" s="271" t="e">
        <f>IF(C16&gt;=C15*0.95,"합격","불합격")</f>
        <v>#VALUE!</v>
      </c>
      <c r="F16" s="438" t="s">
        <v>209</v>
      </c>
      <c r="G16" s="438"/>
      <c r="H16" s="433" t="s">
        <v>210</v>
      </c>
      <c r="I16" s="435"/>
    </row>
    <row r="17" spans="1:9" ht="15.95" customHeight="1">
      <c r="A17" s="269" t="s">
        <v>211</v>
      </c>
      <c r="B17" s="270" t="s">
        <v>116</v>
      </c>
      <c r="C17" s="482" t="str">
        <f>Input!C17</f>
        <v>"직접입력"</v>
      </c>
      <c r="D17" s="482"/>
      <c r="E17" s="271"/>
      <c r="F17" s="438" t="s">
        <v>206</v>
      </c>
      <c r="G17" s="438"/>
      <c r="H17" s="433" t="s">
        <v>207</v>
      </c>
      <c r="I17" s="435"/>
    </row>
    <row r="18" spans="1:9" ht="15.95" customHeight="1">
      <c r="A18" s="272" t="s">
        <v>119</v>
      </c>
      <c r="B18" s="270" t="s">
        <v>116</v>
      </c>
      <c r="C18" s="482" t="str">
        <f>Input!E17</f>
        <v>"결과입력"</v>
      </c>
      <c r="D18" s="482"/>
      <c r="E18" s="271" t="e">
        <f>IF(C18&gt;=C17*0.95,"합격","불합격")</f>
        <v>#VALUE!</v>
      </c>
      <c r="F18" s="439" t="s">
        <v>209</v>
      </c>
      <c r="G18" s="439"/>
      <c r="H18" s="440" t="s">
        <v>207</v>
      </c>
      <c r="I18" s="441"/>
    </row>
    <row r="19" spans="1:9" ht="15.95" customHeight="1">
      <c r="A19" s="272" t="s">
        <v>228</v>
      </c>
      <c r="B19" s="270" t="s">
        <v>233</v>
      </c>
      <c r="C19" s="506" t="str">
        <f>Input!E20</f>
        <v>"결과입력"</v>
      </c>
      <c r="D19" s="507"/>
      <c r="E19" s="271"/>
      <c r="F19" s="433"/>
      <c r="G19" s="434"/>
      <c r="H19" s="433" t="s">
        <v>234</v>
      </c>
      <c r="I19" s="435"/>
    </row>
    <row r="20" spans="1:9" ht="15.95" customHeight="1">
      <c r="A20" s="269" t="s">
        <v>120</v>
      </c>
      <c r="B20" s="270" t="s">
        <v>116</v>
      </c>
      <c r="C20" s="482" t="str">
        <f>Input!E18</f>
        <v>"결과입력"</v>
      </c>
      <c r="D20" s="482"/>
      <c r="E20" s="271"/>
      <c r="F20" s="438"/>
      <c r="G20" s="438"/>
      <c r="H20" s="433" t="s">
        <v>207</v>
      </c>
      <c r="I20" s="435"/>
    </row>
    <row r="21" spans="1:9" ht="15.95" customHeight="1">
      <c r="A21" s="269" t="s">
        <v>121</v>
      </c>
      <c r="B21" s="270" t="s">
        <v>116</v>
      </c>
      <c r="C21" s="482" t="str">
        <f>Input!E19</f>
        <v>"결과입력"</v>
      </c>
      <c r="D21" s="482"/>
      <c r="E21" s="271"/>
      <c r="F21" s="438"/>
      <c r="G21" s="438"/>
      <c r="H21" s="433" t="s">
        <v>207</v>
      </c>
      <c r="I21" s="435"/>
    </row>
    <row r="22" spans="1:9" ht="15.95" customHeight="1">
      <c r="A22" s="269" t="s">
        <v>122</v>
      </c>
      <c r="B22" s="270" t="s">
        <v>123</v>
      </c>
      <c r="C22" s="500" t="e">
        <f>Input!E21</f>
        <v>#VALUE!</v>
      </c>
      <c r="D22" s="500"/>
      <c r="E22" s="273"/>
      <c r="F22" s="446"/>
      <c r="G22" s="446"/>
      <c r="H22" s="447" t="s">
        <v>212</v>
      </c>
      <c r="I22" s="448"/>
    </row>
    <row r="23" spans="1:9" ht="15.95" customHeight="1">
      <c r="A23" s="269" t="s">
        <v>124</v>
      </c>
      <c r="B23" s="270" t="s">
        <v>123</v>
      </c>
      <c r="C23" s="501" t="e">
        <f>Input!E22</f>
        <v>#VALUE!</v>
      </c>
      <c r="D23" s="501"/>
      <c r="E23" s="274"/>
      <c r="F23" s="449"/>
      <c r="G23" s="449"/>
      <c r="H23" s="492" t="s">
        <v>212</v>
      </c>
      <c r="I23" s="493"/>
    </row>
    <row r="24" spans="1:9" ht="15.95" customHeight="1">
      <c r="A24" s="275" t="s">
        <v>125</v>
      </c>
      <c r="B24" s="270" t="s">
        <v>116</v>
      </c>
      <c r="C24" s="502" t="str">
        <f>Input!E23</f>
        <v>"직접입력"</v>
      </c>
      <c r="D24" s="502"/>
      <c r="E24" s="274"/>
      <c r="F24" s="439"/>
      <c r="G24" s="439"/>
      <c r="H24" s="440" t="s">
        <v>207</v>
      </c>
      <c r="I24" s="441"/>
    </row>
    <row r="25" spans="1:9" ht="15.95" customHeight="1">
      <c r="A25" s="269" t="s">
        <v>126</v>
      </c>
      <c r="B25" s="276" t="s">
        <v>127</v>
      </c>
      <c r="C25" s="445" t="e">
        <f>Input!E24</f>
        <v>#VALUE!</v>
      </c>
      <c r="D25" s="445"/>
      <c r="E25" s="273" t="e">
        <f>IF(C25&gt;=Input!C24*0.92,"합격","불합격")</f>
        <v>#VALUE!</v>
      </c>
      <c r="F25" s="442" t="s">
        <v>292</v>
      </c>
      <c r="G25" s="442"/>
      <c r="H25" s="443" t="s">
        <v>213</v>
      </c>
      <c r="I25" s="444"/>
    </row>
    <row r="26" spans="1:9" ht="15.95" customHeight="1" thickBot="1">
      <c r="A26" s="277" t="s">
        <v>128</v>
      </c>
      <c r="B26" s="278" t="s">
        <v>129</v>
      </c>
      <c r="C26" s="503" t="e">
        <f>Input!E25</f>
        <v>#VALUE!</v>
      </c>
      <c r="D26" s="503"/>
      <c r="E26" s="279" t="e">
        <f>IF(C25&gt;=Input!C24*0.92,"합격","불합격")</f>
        <v>#VALUE!</v>
      </c>
      <c r="F26" s="497" t="s">
        <v>292</v>
      </c>
      <c r="G26" s="497"/>
      <c r="H26" s="498" t="s">
        <v>213</v>
      </c>
      <c r="I26" s="499"/>
    </row>
    <row r="27" spans="1:9" ht="15.95" customHeight="1">
      <c r="A27" s="280" t="s">
        <v>235</v>
      </c>
      <c r="B27" s="267" t="s">
        <v>130</v>
      </c>
      <c r="C27" s="504" t="e">
        <f>Input!E26</f>
        <v>#VALUE!</v>
      </c>
      <c r="D27" s="504"/>
      <c r="E27" s="281"/>
      <c r="F27" s="483"/>
      <c r="G27" s="483"/>
      <c r="H27" s="484" t="s">
        <v>207</v>
      </c>
      <c r="I27" s="485"/>
    </row>
    <row r="28" spans="1:9" ht="15.95" customHeight="1">
      <c r="A28" s="275" t="s">
        <v>236</v>
      </c>
      <c r="B28" s="282" t="s">
        <v>242</v>
      </c>
      <c r="C28" s="436" t="e">
        <f>Input!E27</f>
        <v>#VALUE!</v>
      </c>
      <c r="D28" s="437"/>
      <c r="E28" s="283"/>
      <c r="F28" s="433"/>
      <c r="G28" s="434"/>
      <c r="H28" s="284"/>
      <c r="I28" s="285"/>
    </row>
    <row r="29" spans="1:9" ht="15.95" customHeight="1">
      <c r="A29" s="286" t="s">
        <v>237</v>
      </c>
      <c r="B29" s="270" t="s">
        <v>131</v>
      </c>
      <c r="C29" s="505" t="e">
        <f>Input!E28</f>
        <v>#VALUE!</v>
      </c>
      <c r="D29" s="505"/>
      <c r="E29" s="273" t="e">
        <f>IF(C29&lt;=Input!C28*1.1,"합격","불합격")</f>
        <v>#VALUE!</v>
      </c>
      <c r="F29" s="438" t="s">
        <v>214</v>
      </c>
      <c r="G29" s="438"/>
      <c r="H29" s="433" t="s">
        <v>207</v>
      </c>
      <c r="I29" s="435"/>
    </row>
    <row r="30" spans="1:9" ht="15.95" customHeight="1">
      <c r="A30" s="286" t="s">
        <v>243</v>
      </c>
      <c r="B30" s="270" t="s">
        <v>131</v>
      </c>
      <c r="C30" s="436" t="e">
        <f>Input!E29</f>
        <v>#VALUE!</v>
      </c>
      <c r="D30" s="437"/>
      <c r="E30" s="273" t="e">
        <f>IF(C30&lt;=Input!C29*1.1,"합격","불합격")</f>
        <v>#VALUE!</v>
      </c>
      <c r="F30" s="438" t="s">
        <v>214</v>
      </c>
      <c r="G30" s="438"/>
      <c r="H30" s="287"/>
      <c r="I30" s="288"/>
    </row>
    <row r="31" spans="1:9" ht="15.95" customHeight="1">
      <c r="A31" s="286" t="s">
        <v>244</v>
      </c>
      <c r="B31" s="270" t="s">
        <v>132</v>
      </c>
      <c r="C31" s="436" t="e">
        <f>Input!E30</f>
        <v>#VALUE!</v>
      </c>
      <c r="D31" s="437"/>
      <c r="E31" s="289"/>
      <c r="F31" s="438"/>
      <c r="G31" s="438"/>
      <c r="H31" s="433" t="s">
        <v>212</v>
      </c>
      <c r="I31" s="435"/>
    </row>
    <row r="32" spans="1:9" ht="15.95" customHeight="1">
      <c r="A32" s="286" t="s">
        <v>244</v>
      </c>
      <c r="B32" s="270" t="s">
        <v>132</v>
      </c>
      <c r="C32" s="436" t="e">
        <f>Input!E31</f>
        <v>#VALUE!</v>
      </c>
      <c r="D32" s="437"/>
      <c r="E32" s="289"/>
      <c r="F32" s="433"/>
      <c r="G32" s="434"/>
      <c r="H32" s="284"/>
      <c r="I32" s="285"/>
    </row>
    <row r="33" spans="1:12" ht="15.95" customHeight="1">
      <c r="A33" s="275" t="s">
        <v>133</v>
      </c>
      <c r="B33" s="270" t="s">
        <v>123</v>
      </c>
      <c r="C33" s="436" t="e">
        <f>Input!E32</f>
        <v>#VALUE!</v>
      </c>
      <c r="D33" s="437"/>
      <c r="E33" s="273" t="e">
        <f>IF(C33&lt;=Input!C32*1.1,"합격","불합격")</f>
        <v>#VALUE!</v>
      </c>
      <c r="F33" s="438" t="s">
        <v>214</v>
      </c>
      <c r="G33" s="438"/>
      <c r="H33" s="456" t="s">
        <v>212</v>
      </c>
      <c r="I33" s="457"/>
      <c r="L33" s="36"/>
    </row>
    <row r="34" spans="1:12" ht="15.95" customHeight="1">
      <c r="A34" s="269" t="s">
        <v>134</v>
      </c>
      <c r="B34" s="270" t="s">
        <v>123</v>
      </c>
      <c r="C34" s="436" t="e">
        <f>Input!E33</f>
        <v>#VALUE!</v>
      </c>
      <c r="D34" s="437"/>
      <c r="E34" s="273" t="e">
        <f>IF(C34&lt;=Input!C33*1.1,"합격","불합격")</f>
        <v>#VALUE!</v>
      </c>
      <c r="F34" s="438" t="s">
        <v>214</v>
      </c>
      <c r="G34" s="438"/>
      <c r="H34" s="443" t="s">
        <v>212</v>
      </c>
      <c r="I34" s="444"/>
      <c r="L34" s="36"/>
    </row>
    <row r="35" spans="1:12" ht="15.95" customHeight="1">
      <c r="A35" s="286" t="s">
        <v>246</v>
      </c>
      <c r="B35" s="270" t="s">
        <v>135</v>
      </c>
      <c r="C35" s="436" t="e">
        <f>Input!E34</f>
        <v>#VALUE!</v>
      </c>
      <c r="D35" s="437"/>
      <c r="E35" s="290"/>
      <c r="F35" s="449"/>
      <c r="G35" s="449"/>
      <c r="H35" s="492" t="s">
        <v>212</v>
      </c>
      <c r="I35" s="493"/>
      <c r="L35" s="36"/>
    </row>
    <row r="36" spans="1:12" ht="15.95" customHeight="1">
      <c r="A36" s="286" t="s">
        <v>245</v>
      </c>
      <c r="B36" s="270" t="s">
        <v>135</v>
      </c>
      <c r="C36" s="436" t="e">
        <f>Input!E35</f>
        <v>#VALUE!</v>
      </c>
      <c r="D36" s="437"/>
      <c r="E36" s="291"/>
      <c r="F36" s="438"/>
      <c r="G36" s="438"/>
      <c r="H36" s="433" t="s">
        <v>215</v>
      </c>
      <c r="I36" s="435"/>
      <c r="L36" s="36"/>
    </row>
    <row r="37" spans="1:12" ht="15.95" customHeight="1" thickBot="1">
      <c r="A37" s="292" t="s">
        <v>216</v>
      </c>
      <c r="B37" s="293" t="s">
        <v>217</v>
      </c>
      <c r="C37" s="458" t="str">
        <f>Input!E36</f>
        <v>"결과입력"</v>
      </c>
      <c r="D37" s="458"/>
      <c r="E37" s="294"/>
      <c r="F37" s="494"/>
      <c r="G37" s="494"/>
      <c r="H37" s="495" t="s">
        <v>218</v>
      </c>
      <c r="I37" s="496"/>
      <c r="L37" s="36"/>
    </row>
    <row r="38" spans="1:12" ht="15.95" customHeight="1">
      <c r="C38" s="35"/>
      <c r="L38" s="36"/>
    </row>
    <row r="39" spans="1:12" ht="15.95" customHeight="1">
      <c r="A39" s="295" t="s">
        <v>255</v>
      </c>
      <c r="C39" s="35"/>
      <c r="L39" s="36"/>
    </row>
    <row r="40" spans="1:12">
      <c r="A40" s="259"/>
      <c r="C40" s="35"/>
    </row>
    <row r="41" spans="1:12" ht="12.75" thickBot="1">
      <c r="A41" s="455" t="s">
        <v>219</v>
      </c>
      <c r="B41" s="455"/>
      <c r="C41" s="455"/>
      <c r="D41" s="455"/>
      <c r="E41" s="296"/>
      <c r="F41" s="296"/>
      <c r="G41" s="296"/>
      <c r="H41" s="296"/>
      <c r="I41" s="296"/>
    </row>
    <row r="42" spans="1:12" ht="14.25" customHeight="1">
      <c r="A42" s="510" t="s">
        <v>220</v>
      </c>
      <c r="B42" s="511"/>
      <c r="C42" s="511"/>
      <c r="D42" s="512" t="s">
        <v>221</v>
      </c>
      <c r="E42" s="513"/>
      <c r="F42" s="508" t="s">
        <v>260</v>
      </c>
      <c r="G42" s="297"/>
      <c r="H42" s="297"/>
      <c r="I42" s="297"/>
    </row>
    <row r="43" spans="1:12" ht="12.75" thickBot="1">
      <c r="A43" s="298" t="s">
        <v>258</v>
      </c>
      <c r="B43" s="452" t="s">
        <v>259</v>
      </c>
      <c r="C43" s="453"/>
      <c r="D43" s="299" t="s">
        <v>273</v>
      </c>
      <c r="E43" s="300" t="s">
        <v>274</v>
      </c>
      <c r="F43" s="509"/>
    </row>
    <row r="44" spans="1:12">
      <c r="A44" s="301" t="s">
        <v>262</v>
      </c>
      <c r="B44" s="454" t="s">
        <v>263</v>
      </c>
      <c r="C44" s="454"/>
      <c r="D44" s="302" t="s">
        <v>275</v>
      </c>
      <c r="E44" s="303" t="s">
        <v>261</v>
      </c>
      <c r="F44" s="304">
        <v>1</v>
      </c>
    </row>
    <row r="45" spans="1:12">
      <c r="A45" s="305" t="s">
        <v>264</v>
      </c>
      <c r="B45" s="450" t="s">
        <v>268</v>
      </c>
      <c r="C45" s="450"/>
      <c r="D45" s="306" t="s">
        <v>275</v>
      </c>
      <c r="E45" s="307" t="s">
        <v>261</v>
      </c>
      <c r="F45" s="308">
        <v>2</v>
      </c>
    </row>
    <row r="46" spans="1:12">
      <c r="A46" s="305" t="s">
        <v>265</v>
      </c>
      <c r="B46" s="450" t="s">
        <v>269</v>
      </c>
      <c r="C46" s="450"/>
      <c r="D46" s="306" t="s">
        <v>276</v>
      </c>
      <c r="E46" s="307" t="s">
        <v>272</v>
      </c>
      <c r="F46" s="308">
        <v>3</v>
      </c>
    </row>
    <row r="47" spans="1:12">
      <c r="A47" s="305" t="s">
        <v>266</v>
      </c>
      <c r="B47" s="450" t="s">
        <v>270</v>
      </c>
      <c r="C47" s="450"/>
      <c r="D47" s="306" t="s">
        <v>276</v>
      </c>
      <c r="E47" s="307" t="s">
        <v>272</v>
      </c>
      <c r="F47" s="308">
        <v>4</v>
      </c>
    </row>
    <row r="48" spans="1:12" ht="14.25" customHeight="1" thickBot="1">
      <c r="A48" s="309" t="s">
        <v>267</v>
      </c>
      <c r="B48" s="451" t="s">
        <v>271</v>
      </c>
      <c r="C48" s="451"/>
      <c r="D48" s="310" t="s">
        <v>277</v>
      </c>
      <c r="E48" s="311" t="s">
        <v>272</v>
      </c>
      <c r="F48" s="312">
        <v>5</v>
      </c>
      <c r="H48" s="313"/>
      <c r="I48" s="313"/>
    </row>
    <row r="49" spans="1:9">
      <c r="A49" s="296"/>
      <c r="B49" s="296"/>
      <c r="C49" s="296"/>
      <c r="D49" s="296"/>
    </row>
    <row r="50" spans="1:9" ht="12.75" thickBot="1">
      <c r="A50" s="455" t="s">
        <v>256</v>
      </c>
      <c r="B50" s="455"/>
      <c r="C50" s="455"/>
      <c r="D50" s="455"/>
      <c r="E50" s="313"/>
    </row>
    <row r="51" spans="1:9" ht="14.25" customHeight="1">
      <c r="A51" s="510" t="s">
        <v>220</v>
      </c>
      <c r="B51" s="511"/>
      <c r="C51" s="511"/>
      <c r="D51" s="512" t="s">
        <v>221</v>
      </c>
      <c r="E51" s="513"/>
      <c r="F51" s="508" t="s">
        <v>260</v>
      </c>
      <c r="G51" s="297"/>
      <c r="H51" s="297"/>
      <c r="I51" s="297"/>
    </row>
    <row r="52" spans="1:9" ht="12.75" thickBot="1">
      <c r="A52" s="298" t="s">
        <v>258</v>
      </c>
      <c r="B52" s="452" t="s">
        <v>259</v>
      </c>
      <c r="C52" s="453"/>
      <c r="D52" s="299" t="s">
        <v>273</v>
      </c>
      <c r="E52" s="300" t="s">
        <v>274</v>
      </c>
      <c r="F52" s="509"/>
    </row>
    <row r="53" spans="1:9">
      <c r="A53" s="301" t="s">
        <v>262</v>
      </c>
      <c r="B53" s="454" t="s">
        <v>282</v>
      </c>
      <c r="C53" s="454"/>
      <c r="D53" s="302" t="s">
        <v>275</v>
      </c>
      <c r="E53" s="303" t="s">
        <v>261</v>
      </c>
      <c r="F53" s="304">
        <v>1</v>
      </c>
    </row>
    <row r="54" spans="1:9">
      <c r="A54" s="305" t="s">
        <v>278</v>
      </c>
      <c r="B54" s="450" t="s">
        <v>283</v>
      </c>
      <c r="C54" s="450"/>
      <c r="D54" s="306" t="s">
        <v>275</v>
      </c>
      <c r="E54" s="307" t="s">
        <v>261</v>
      </c>
      <c r="F54" s="308">
        <v>2</v>
      </c>
    </row>
    <row r="55" spans="1:9">
      <c r="A55" s="305" t="s">
        <v>279</v>
      </c>
      <c r="B55" s="450" t="s">
        <v>284</v>
      </c>
      <c r="C55" s="450"/>
      <c r="D55" s="306" t="s">
        <v>276</v>
      </c>
      <c r="E55" s="307" t="s">
        <v>272</v>
      </c>
      <c r="F55" s="308">
        <v>3</v>
      </c>
    </row>
    <row r="56" spans="1:9">
      <c r="A56" s="305" t="s">
        <v>280</v>
      </c>
      <c r="B56" s="450" t="s">
        <v>285</v>
      </c>
      <c r="C56" s="450"/>
      <c r="D56" s="306" t="s">
        <v>276</v>
      </c>
      <c r="E56" s="307" t="s">
        <v>272</v>
      </c>
      <c r="F56" s="308">
        <v>4</v>
      </c>
    </row>
    <row r="57" spans="1:9" ht="14.25" customHeight="1" thickBot="1">
      <c r="A57" s="309" t="s">
        <v>281</v>
      </c>
      <c r="B57" s="451" t="s">
        <v>286</v>
      </c>
      <c r="C57" s="451"/>
      <c r="D57" s="310" t="s">
        <v>277</v>
      </c>
      <c r="E57" s="311" t="s">
        <v>272</v>
      </c>
      <c r="F57" s="312">
        <v>5</v>
      </c>
      <c r="H57" s="313"/>
      <c r="I57" s="313"/>
    </row>
    <row r="59" spans="1:9" ht="12.75" thickBot="1">
      <c r="A59" s="313" t="s">
        <v>257</v>
      </c>
      <c r="B59" s="313"/>
      <c r="C59" s="313"/>
      <c r="D59" s="313"/>
    </row>
    <row r="60" spans="1:9">
      <c r="A60" s="510" t="s">
        <v>220</v>
      </c>
      <c r="B60" s="511"/>
      <c r="C60" s="511"/>
      <c r="D60" s="512" t="s">
        <v>221</v>
      </c>
      <c r="E60" s="513"/>
      <c r="F60" s="508" t="s">
        <v>260</v>
      </c>
    </row>
    <row r="61" spans="1:9" ht="12.75" thickBot="1">
      <c r="A61" s="298" t="s">
        <v>258</v>
      </c>
      <c r="B61" s="452" t="s">
        <v>259</v>
      </c>
      <c r="C61" s="453"/>
      <c r="D61" s="299" t="s">
        <v>273</v>
      </c>
      <c r="E61" s="300" t="s">
        <v>274</v>
      </c>
      <c r="F61" s="509"/>
    </row>
    <row r="62" spans="1:9">
      <c r="A62" s="301" t="s">
        <v>262</v>
      </c>
      <c r="B62" s="454" t="s">
        <v>282</v>
      </c>
      <c r="C62" s="454"/>
      <c r="D62" s="302" t="s">
        <v>275</v>
      </c>
      <c r="E62" s="303" t="s">
        <v>261</v>
      </c>
      <c r="F62" s="304">
        <v>1</v>
      </c>
    </row>
    <row r="63" spans="1:9">
      <c r="A63" s="305" t="s">
        <v>278</v>
      </c>
      <c r="B63" s="450" t="s">
        <v>283</v>
      </c>
      <c r="C63" s="450"/>
      <c r="D63" s="306" t="s">
        <v>275</v>
      </c>
      <c r="E63" s="307" t="s">
        <v>261</v>
      </c>
      <c r="F63" s="308">
        <v>2</v>
      </c>
    </row>
    <row r="64" spans="1:9">
      <c r="A64" s="305" t="s">
        <v>279</v>
      </c>
      <c r="B64" s="450" t="s">
        <v>289</v>
      </c>
      <c r="C64" s="450"/>
      <c r="D64" s="306" t="s">
        <v>276</v>
      </c>
      <c r="E64" s="307" t="s">
        <v>272</v>
      </c>
      <c r="F64" s="308">
        <v>3</v>
      </c>
    </row>
    <row r="65" spans="1:6">
      <c r="A65" s="305" t="s">
        <v>287</v>
      </c>
      <c r="B65" s="450" t="s">
        <v>290</v>
      </c>
      <c r="C65" s="450"/>
      <c r="D65" s="306" t="s">
        <v>276</v>
      </c>
      <c r="E65" s="307" t="s">
        <v>272</v>
      </c>
      <c r="F65" s="308">
        <v>4</v>
      </c>
    </row>
    <row r="66" spans="1:6" ht="12.75" thickBot="1">
      <c r="A66" s="309" t="s">
        <v>288</v>
      </c>
      <c r="B66" s="451" t="s">
        <v>291</v>
      </c>
      <c r="C66" s="451"/>
      <c r="D66" s="310" t="s">
        <v>277</v>
      </c>
      <c r="E66" s="311" t="s">
        <v>272</v>
      </c>
      <c r="F66" s="312">
        <v>5</v>
      </c>
    </row>
  </sheetData>
  <sheetProtection password="CC43" sheet="1" formatCells="0" formatColumns="0" formatRows="0" insertColumns="0" insertRows="0" insertHyperlinks="0" deleteColumns="0" deleteRows="0" sort="0" autoFilter="0" pivotTables="0"/>
  <mergeCells count="120">
    <mergeCell ref="F42:F43"/>
    <mergeCell ref="F51:F52"/>
    <mergeCell ref="A60:C60"/>
    <mergeCell ref="D60:E60"/>
    <mergeCell ref="F60:F61"/>
    <mergeCell ref="B61:C61"/>
    <mergeCell ref="B62:C62"/>
    <mergeCell ref="B63:C63"/>
    <mergeCell ref="A42:C42"/>
    <mergeCell ref="B43:C43"/>
    <mergeCell ref="B44:C44"/>
    <mergeCell ref="B45:C45"/>
    <mergeCell ref="B46:C46"/>
    <mergeCell ref="B47:C47"/>
    <mergeCell ref="B48:C48"/>
    <mergeCell ref="A51:C51"/>
    <mergeCell ref="D42:E42"/>
    <mergeCell ref="D51:E51"/>
    <mergeCell ref="C18:D18"/>
    <mergeCell ref="C20:D20"/>
    <mergeCell ref="C21:D21"/>
    <mergeCell ref="C22:D22"/>
    <mergeCell ref="C23:D23"/>
    <mergeCell ref="C24:D24"/>
    <mergeCell ref="C26:D26"/>
    <mergeCell ref="C27:D27"/>
    <mergeCell ref="C29:D29"/>
    <mergeCell ref="C19:D19"/>
    <mergeCell ref="H23:I23"/>
    <mergeCell ref="F35:G35"/>
    <mergeCell ref="H35:I35"/>
    <mergeCell ref="F36:G36"/>
    <mergeCell ref="H36:I36"/>
    <mergeCell ref="F37:G37"/>
    <mergeCell ref="H37:I37"/>
    <mergeCell ref="F26:G26"/>
    <mergeCell ref="H26:I26"/>
    <mergeCell ref="F27:G27"/>
    <mergeCell ref="H27:I27"/>
    <mergeCell ref="F29:G29"/>
    <mergeCell ref="H29:I29"/>
    <mergeCell ref="A9:A10"/>
    <mergeCell ref="F14:G14"/>
    <mergeCell ref="H14:I14"/>
    <mergeCell ref="C14:D14"/>
    <mergeCell ref="E9:F9"/>
    <mergeCell ref="G9:I9"/>
    <mergeCell ref="E10:F10"/>
    <mergeCell ref="G10:I10"/>
    <mergeCell ref="C17:D17"/>
    <mergeCell ref="F15:G15"/>
    <mergeCell ref="H15:I15"/>
    <mergeCell ref="F16:G16"/>
    <mergeCell ref="H16:I16"/>
    <mergeCell ref="A11:B11"/>
    <mergeCell ref="C11:D11"/>
    <mergeCell ref="E11:F11"/>
    <mergeCell ref="C9:D9"/>
    <mergeCell ref="C10:D10"/>
    <mergeCell ref="C15:D15"/>
    <mergeCell ref="C16:D16"/>
    <mergeCell ref="G11:I11"/>
    <mergeCell ref="A1:I1"/>
    <mergeCell ref="E7:F7"/>
    <mergeCell ref="G7:I7"/>
    <mergeCell ref="E8:F8"/>
    <mergeCell ref="G8:I8"/>
    <mergeCell ref="B3:I3"/>
    <mergeCell ref="B4:I4"/>
    <mergeCell ref="A7:B7"/>
    <mergeCell ref="A8:B8"/>
    <mergeCell ref="C7:D7"/>
    <mergeCell ref="C8:D8"/>
    <mergeCell ref="A41:D41"/>
    <mergeCell ref="F31:G31"/>
    <mergeCell ref="H31:I31"/>
    <mergeCell ref="F33:G33"/>
    <mergeCell ref="H33:I33"/>
    <mergeCell ref="F34:G34"/>
    <mergeCell ref="H34:I34"/>
    <mergeCell ref="C31:D31"/>
    <mergeCell ref="C33:D33"/>
    <mergeCell ref="C34:D34"/>
    <mergeCell ref="C35:D35"/>
    <mergeCell ref="C36:D36"/>
    <mergeCell ref="C37:D37"/>
    <mergeCell ref="B64:C64"/>
    <mergeCell ref="B65:C65"/>
    <mergeCell ref="B66:C66"/>
    <mergeCell ref="B52:C52"/>
    <mergeCell ref="B53:C53"/>
    <mergeCell ref="A50:D50"/>
    <mergeCell ref="B54:C54"/>
    <mergeCell ref="B55:C55"/>
    <mergeCell ref="B56:C56"/>
    <mergeCell ref="B57:C57"/>
    <mergeCell ref="F19:G19"/>
    <mergeCell ref="H19:I19"/>
    <mergeCell ref="C28:D28"/>
    <mergeCell ref="F28:G28"/>
    <mergeCell ref="C30:D30"/>
    <mergeCell ref="F30:G30"/>
    <mergeCell ref="C32:D32"/>
    <mergeCell ref="F32:G32"/>
    <mergeCell ref="F17:G17"/>
    <mergeCell ref="H17:I17"/>
    <mergeCell ref="F18:G18"/>
    <mergeCell ref="H18:I18"/>
    <mergeCell ref="F20:G20"/>
    <mergeCell ref="H20:I20"/>
    <mergeCell ref="F24:G24"/>
    <mergeCell ref="H24:I24"/>
    <mergeCell ref="F25:G25"/>
    <mergeCell ref="H25:I25"/>
    <mergeCell ref="C25:D25"/>
    <mergeCell ref="F21:G21"/>
    <mergeCell ref="H21:I21"/>
    <mergeCell ref="F22:G22"/>
    <mergeCell ref="H22:I22"/>
    <mergeCell ref="F23:G23"/>
  </mergeCells>
  <phoneticPr fontId="2" type="noConversion"/>
  <pageMargins left="0.74803149606299213" right="0.74803149606299213" top="0.39370078740157483" bottom="0.39370078740157483" header="0.39370078740157483" footer="0.39370078740157483"/>
  <pageSetup paperSize="9" scale="81" orientation="portrait" r:id="rId1"/>
  <headerFooter alignWithMargins="0"/>
  <ignoredErrors>
    <ignoredError sqref="E16" unlockedFormula="1"/>
    <ignoredError sqref="E33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F94"/>
  <sheetViews>
    <sheetView showGridLines="0" topLeftCell="B1" zoomScaleNormal="100" workbookViewId="0">
      <selection activeCell="N9" sqref="N9"/>
    </sheetView>
  </sheetViews>
  <sheetFormatPr defaultRowHeight="13.5"/>
  <cols>
    <col min="1" max="1" width="1" style="22" customWidth="1"/>
    <col min="2" max="2" width="1.5546875" style="22" customWidth="1"/>
    <col min="3" max="21" width="9.33203125" style="22" customWidth="1"/>
    <col min="22" max="22" width="1.88671875" style="22" customWidth="1"/>
    <col min="23" max="256" width="8.88671875" style="22"/>
    <col min="257" max="257" width="2.88671875" style="22" customWidth="1"/>
    <col min="258" max="258" width="1.5546875" style="22" customWidth="1"/>
    <col min="259" max="275" width="7.77734375" style="22" customWidth="1"/>
    <col min="276" max="276" width="2" style="22" customWidth="1"/>
    <col min="277" max="278" width="7.77734375" style="22" customWidth="1"/>
    <col min="279" max="512" width="8.88671875" style="22"/>
    <col min="513" max="513" width="2.88671875" style="22" customWidth="1"/>
    <col min="514" max="514" width="1.5546875" style="22" customWidth="1"/>
    <col min="515" max="531" width="7.77734375" style="22" customWidth="1"/>
    <col min="532" max="532" width="2" style="22" customWidth="1"/>
    <col min="533" max="534" width="7.77734375" style="22" customWidth="1"/>
    <col min="535" max="768" width="8.88671875" style="22"/>
    <col min="769" max="769" width="2.88671875" style="22" customWidth="1"/>
    <col min="770" max="770" width="1.5546875" style="22" customWidth="1"/>
    <col min="771" max="787" width="7.77734375" style="22" customWidth="1"/>
    <col min="788" max="788" width="2" style="22" customWidth="1"/>
    <col min="789" max="790" width="7.77734375" style="22" customWidth="1"/>
    <col min="791" max="1024" width="8.88671875" style="22"/>
    <col min="1025" max="1025" width="2.88671875" style="22" customWidth="1"/>
    <col min="1026" max="1026" width="1.5546875" style="22" customWidth="1"/>
    <col min="1027" max="1043" width="7.77734375" style="22" customWidth="1"/>
    <col min="1044" max="1044" width="2" style="22" customWidth="1"/>
    <col min="1045" max="1046" width="7.77734375" style="22" customWidth="1"/>
    <col min="1047" max="1280" width="8.88671875" style="22"/>
    <col min="1281" max="1281" width="2.88671875" style="22" customWidth="1"/>
    <col min="1282" max="1282" width="1.5546875" style="22" customWidth="1"/>
    <col min="1283" max="1299" width="7.77734375" style="22" customWidth="1"/>
    <col min="1300" max="1300" width="2" style="22" customWidth="1"/>
    <col min="1301" max="1302" width="7.77734375" style="22" customWidth="1"/>
    <col min="1303" max="1536" width="8.88671875" style="22"/>
    <col min="1537" max="1537" width="2.88671875" style="22" customWidth="1"/>
    <col min="1538" max="1538" width="1.5546875" style="22" customWidth="1"/>
    <col min="1539" max="1555" width="7.77734375" style="22" customWidth="1"/>
    <col min="1556" max="1556" width="2" style="22" customWidth="1"/>
    <col min="1557" max="1558" width="7.77734375" style="22" customWidth="1"/>
    <col min="1559" max="1792" width="8.88671875" style="22"/>
    <col min="1793" max="1793" width="2.88671875" style="22" customWidth="1"/>
    <col min="1794" max="1794" width="1.5546875" style="22" customWidth="1"/>
    <col min="1795" max="1811" width="7.77734375" style="22" customWidth="1"/>
    <col min="1812" max="1812" width="2" style="22" customWidth="1"/>
    <col min="1813" max="1814" width="7.77734375" style="22" customWidth="1"/>
    <col min="1815" max="2048" width="8.88671875" style="22"/>
    <col min="2049" max="2049" width="2.88671875" style="22" customWidth="1"/>
    <col min="2050" max="2050" width="1.5546875" style="22" customWidth="1"/>
    <col min="2051" max="2067" width="7.77734375" style="22" customWidth="1"/>
    <col min="2068" max="2068" width="2" style="22" customWidth="1"/>
    <col min="2069" max="2070" width="7.77734375" style="22" customWidth="1"/>
    <col min="2071" max="2304" width="8.88671875" style="22"/>
    <col min="2305" max="2305" width="2.88671875" style="22" customWidth="1"/>
    <col min="2306" max="2306" width="1.5546875" style="22" customWidth="1"/>
    <col min="2307" max="2323" width="7.77734375" style="22" customWidth="1"/>
    <col min="2324" max="2324" width="2" style="22" customWidth="1"/>
    <col min="2325" max="2326" width="7.77734375" style="22" customWidth="1"/>
    <col min="2327" max="2560" width="8.88671875" style="22"/>
    <col min="2561" max="2561" width="2.88671875" style="22" customWidth="1"/>
    <col min="2562" max="2562" width="1.5546875" style="22" customWidth="1"/>
    <col min="2563" max="2579" width="7.77734375" style="22" customWidth="1"/>
    <col min="2580" max="2580" width="2" style="22" customWidth="1"/>
    <col min="2581" max="2582" width="7.77734375" style="22" customWidth="1"/>
    <col min="2583" max="2816" width="8.88671875" style="22"/>
    <col min="2817" max="2817" width="2.88671875" style="22" customWidth="1"/>
    <col min="2818" max="2818" width="1.5546875" style="22" customWidth="1"/>
    <col min="2819" max="2835" width="7.77734375" style="22" customWidth="1"/>
    <col min="2836" max="2836" width="2" style="22" customWidth="1"/>
    <col min="2837" max="2838" width="7.77734375" style="22" customWidth="1"/>
    <col min="2839" max="3072" width="8.88671875" style="22"/>
    <col min="3073" max="3073" width="2.88671875" style="22" customWidth="1"/>
    <col min="3074" max="3074" width="1.5546875" style="22" customWidth="1"/>
    <col min="3075" max="3091" width="7.77734375" style="22" customWidth="1"/>
    <col min="3092" max="3092" width="2" style="22" customWidth="1"/>
    <col min="3093" max="3094" width="7.77734375" style="22" customWidth="1"/>
    <col min="3095" max="3328" width="8.88671875" style="22"/>
    <col min="3329" max="3329" width="2.88671875" style="22" customWidth="1"/>
    <col min="3330" max="3330" width="1.5546875" style="22" customWidth="1"/>
    <col min="3331" max="3347" width="7.77734375" style="22" customWidth="1"/>
    <col min="3348" max="3348" width="2" style="22" customWidth="1"/>
    <col min="3349" max="3350" width="7.77734375" style="22" customWidth="1"/>
    <col min="3351" max="3584" width="8.88671875" style="22"/>
    <col min="3585" max="3585" width="2.88671875" style="22" customWidth="1"/>
    <col min="3586" max="3586" width="1.5546875" style="22" customWidth="1"/>
    <col min="3587" max="3603" width="7.77734375" style="22" customWidth="1"/>
    <col min="3604" max="3604" width="2" style="22" customWidth="1"/>
    <col min="3605" max="3606" width="7.77734375" style="22" customWidth="1"/>
    <col min="3607" max="3840" width="8.88671875" style="22"/>
    <col min="3841" max="3841" width="2.88671875" style="22" customWidth="1"/>
    <col min="3842" max="3842" width="1.5546875" style="22" customWidth="1"/>
    <col min="3843" max="3859" width="7.77734375" style="22" customWidth="1"/>
    <col min="3860" max="3860" width="2" style="22" customWidth="1"/>
    <col min="3861" max="3862" width="7.77734375" style="22" customWidth="1"/>
    <col min="3863" max="4096" width="8.88671875" style="22"/>
    <col min="4097" max="4097" width="2.88671875" style="22" customWidth="1"/>
    <col min="4098" max="4098" width="1.5546875" style="22" customWidth="1"/>
    <col min="4099" max="4115" width="7.77734375" style="22" customWidth="1"/>
    <col min="4116" max="4116" width="2" style="22" customWidth="1"/>
    <col min="4117" max="4118" width="7.77734375" style="22" customWidth="1"/>
    <col min="4119" max="4352" width="8.88671875" style="22"/>
    <col min="4353" max="4353" width="2.88671875" style="22" customWidth="1"/>
    <col min="4354" max="4354" width="1.5546875" style="22" customWidth="1"/>
    <col min="4355" max="4371" width="7.77734375" style="22" customWidth="1"/>
    <col min="4372" max="4372" width="2" style="22" customWidth="1"/>
    <col min="4373" max="4374" width="7.77734375" style="22" customWidth="1"/>
    <col min="4375" max="4608" width="8.88671875" style="22"/>
    <col min="4609" max="4609" width="2.88671875" style="22" customWidth="1"/>
    <col min="4610" max="4610" width="1.5546875" style="22" customWidth="1"/>
    <col min="4611" max="4627" width="7.77734375" style="22" customWidth="1"/>
    <col min="4628" max="4628" width="2" style="22" customWidth="1"/>
    <col min="4629" max="4630" width="7.77734375" style="22" customWidth="1"/>
    <col min="4631" max="4864" width="8.88671875" style="22"/>
    <col min="4865" max="4865" width="2.88671875" style="22" customWidth="1"/>
    <col min="4866" max="4866" width="1.5546875" style="22" customWidth="1"/>
    <col min="4867" max="4883" width="7.77734375" style="22" customWidth="1"/>
    <col min="4884" max="4884" width="2" style="22" customWidth="1"/>
    <col min="4885" max="4886" width="7.77734375" style="22" customWidth="1"/>
    <col min="4887" max="5120" width="8.88671875" style="22"/>
    <col min="5121" max="5121" width="2.88671875" style="22" customWidth="1"/>
    <col min="5122" max="5122" width="1.5546875" style="22" customWidth="1"/>
    <col min="5123" max="5139" width="7.77734375" style="22" customWidth="1"/>
    <col min="5140" max="5140" width="2" style="22" customWidth="1"/>
    <col min="5141" max="5142" width="7.77734375" style="22" customWidth="1"/>
    <col min="5143" max="5376" width="8.88671875" style="22"/>
    <col min="5377" max="5377" width="2.88671875" style="22" customWidth="1"/>
    <col min="5378" max="5378" width="1.5546875" style="22" customWidth="1"/>
    <col min="5379" max="5395" width="7.77734375" style="22" customWidth="1"/>
    <col min="5396" max="5396" width="2" style="22" customWidth="1"/>
    <col min="5397" max="5398" width="7.77734375" style="22" customWidth="1"/>
    <col min="5399" max="5632" width="8.88671875" style="22"/>
    <col min="5633" max="5633" width="2.88671875" style="22" customWidth="1"/>
    <col min="5634" max="5634" width="1.5546875" style="22" customWidth="1"/>
    <col min="5635" max="5651" width="7.77734375" style="22" customWidth="1"/>
    <col min="5652" max="5652" width="2" style="22" customWidth="1"/>
    <col min="5653" max="5654" width="7.77734375" style="22" customWidth="1"/>
    <col min="5655" max="5888" width="8.88671875" style="22"/>
    <col min="5889" max="5889" width="2.88671875" style="22" customWidth="1"/>
    <col min="5890" max="5890" width="1.5546875" style="22" customWidth="1"/>
    <col min="5891" max="5907" width="7.77734375" style="22" customWidth="1"/>
    <col min="5908" max="5908" width="2" style="22" customWidth="1"/>
    <col min="5909" max="5910" width="7.77734375" style="22" customWidth="1"/>
    <col min="5911" max="6144" width="8.88671875" style="22"/>
    <col min="6145" max="6145" width="2.88671875" style="22" customWidth="1"/>
    <col min="6146" max="6146" width="1.5546875" style="22" customWidth="1"/>
    <col min="6147" max="6163" width="7.77734375" style="22" customWidth="1"/>
    <col min="6164" max="6164" width="2" style="22" customWidth="1"/>
    <col min="6165" max="6166" width="7.77734375" style="22" customWidth="1"/>
    <col min="6167" max="6400" width="8.88671875" style="22"/>
    <col min="6401" max="6401" width="2.88671875" style="22" customWidth="1"/>
    <col min="6402" max="6402" width="1.5546875" style="22" customWidth="1"/>
    <col min="6403" max="6419" width="7.77734375" style="22" customWidth="1"/>
    <col min="6420" max="6420" width="2" style="22" customWidth="1"/>
    <col min="6421" max="6422" width="7.77734375" style="22" customWidth="1"/>
    <col min="6423" max="6656" width="8.88671875" style="22"/>
    <col min="6657" max="6657" width="2.88671875" style="22" customWidth="1"/>
    <col min="6658" max="6658" width="1.5546875" style="22" customWidth="1"/>
    <col min="6659" max="6675" width="7.77734375" style="22" customWidth="1"/>
    <col min="6676" max="6676" width="2" style="22" customWidth="1"/>
    <col min="6677" max="6678" width="7.77734375" style="22" customWidth="1"/>
    <col min="6679" max="6912" width="8.88671875" style="22"/>
    <col min="6913" max="6913" width="2.88671875" style="22" customWidth="1"/>
    <col min="6914" max="6914" width="1.5546875" style="22" customWidth="1"/>
    <col min="6915" max="6931" width="7.77734375" style="22" customWidth="1"/>
    <col min="6932" max="6932" width="2" style="22" customWidth="1"/>
    <col min="6933" max="6934" width="7.77734375" style="22" customWidth="1"/>
    <col min="6935" max="7168" width="8.88671875" style="22"/>
    <col min="7169" max="7169" width="2.88671875" style="22" customWidth="1"/>
    <col min="7170" max="7170" width="1.5546875" style="22" customWidth="1"/>
    <col min="7171" max="7187" width="7.77734375" style="22" customWidth="1"/>
    <col min="7188" max="7188" width="2" style="22" customWidth="1"/>
    <col min="7189" max="7190" width="7.77734375" style="22" customWidth="1"/>
    <col min="7191" max="7424" width="8.88671875" style="22"/>
    <col min="7425" max="7425" width="2.88671875" style="22" customWidth="1"/>
    <col min="7426" max="7426" width="1.5546875" style="22" customWidth="1"/>
    <col min="7427" max="7443" width="7.77734375" style="22" customWidth="1"/>
    <col min="7444" max="7444" width="2" style="22" customWidth="1"/>
    <col min="7445" max="7446" width="7.77734375" style="22" customWidth="1"/>
    <col min="7447" max="7680" width="8.88671875" style="22"/>
    <col min="7681" max="7681" width="2.88671875" style="22" customWidth="1"/>
    <col min="7682" max="7682" width="1.5546875" style="22" customWidth="1"/>
    <col min="7683" max="7699" width="7.77734375" style="22" customWidth="1"/>
    <col min="7700" max="7700" width="2" style="22" customWidth="1"/>
    <col min="7701" max="7702" width="7.77734375" style="22" customWidth="1"/>
    <col min="7703" max="7936" width="8.88671875" style="22"/>
    <col min="7937" max="7937" width="2.88671875" style="22" customWidth="1"/>
    <col min="7938" max="7938" width="1.5546875" style="22" customWidth="1"/>
    <col min="7939" max="7955" width="7.77734375" style="22" customWidth="1"/>
    <col min="7956" max="7956" width="2" style="22" customWidth="1"/>
    <col min="7957" max="7958" width="7.77734375" style="22" customWidth="1"/>
    <col min="7959" max="8192" width="8.88671875" style="22"/>
    <col min="8193" max="8193" width="2.88671875" style="22" customWidth="1"/>
    <col min="8194" max="8194" width="1.5546875" style="22" customWidth="1"/>
    <col min="8195" max="8211" width="7.77734375" style="22" customWidth="1"/>
    <col min="8212" max="8212" width="2" style="22" customWidth="1"/>
    <col min="8213" max="8214" width="7.77734375" style="22" customWidth="1"/>
    <col min="8215" max="8448" width="8.88671875" style="22"/>
    <col min="8449" max="8449" width="2.88671875" style="22" customWidth="1"/>
    <col min="8450" max="8450" width="1.5546875" style="22" customWidth="1"/>
    <col min="8451" max="8467" width="7.77734375" style="22" customWidth="1"/>
    <col min="8468" max="8468" width="2" style="22" customWidth="1"/>
    <col min="8469" max="8470" width="7.77734375" style="22" customWidth="1"/>
    <col min="8471" max="8704" width="8.88671875" style="22"/>
    <col min="8705" max="8705" width="2.88671875" style="22" customWidth="1"/>
    <col min="8706" max="8706" width="1.5546875" style="22" customWidth="1"/>
    <col min="8707" max="8723" width="7.77734375" style="22" customWidth="1"/>
    <col min="8724" max="8724" width="2" style="22" customWidth="1"/>
    <col min="8725" max="8726" width="7.77734375" style="22" customWidth="1"/>
    <col min="8727" max="8960" width="8.88671875" style="22"/>
    <col min="8961" max="8961" width="2.88671875" style="22" customWidth="1"/>
    <col min="8962" max="8962" width="1.5546875" style="22" customWidth="1"/>
    <col min="8963" max="8979" width="7.77734375" style="22" customWidth="1"/>
    <col min="8980" max="8980" width="2" style="22" customWidth="1"/>
    <col min="8981" max="8982" width="7.77734375" style="22" customWidth="1"/>
    <col min="8983" max="9216" width="8.88671875" style="22"/>
    <col min="9217" max="9217" width="2.88671875" style="22" customWidth="1"/>
    <col min="9218" max="9218" width="1.5546875" style="22" customWidth="1"/>
    <col min="9219" max="9235" width="7.77734375" style="22" customWidth="1"/>
    <col min="9236" max="9236" width="2" style="22" customWidth="1"/>
    <col min="9237" max="9238" width="7.77734375" style="22" customWidth="1"/>
    <col min="9239" max="9472" width="8.88671875" style="22"/>
    <col min="9473" max="9473" width="2.88671875" style="22" customWidth="1"/>
    <col min="9474" max="9474" width="1.5546875" style="22" customWidth="1"/>
    <col min="9475" max="9491" width="7.77734375" style="22" customWidth="1"/>
    <col min="9492" max="9492" width="2" style="22" customWidth="1"/>
    <col min="9493" max="9494" width="7.77734375" style="22" customWidth="1"/>
    <col min="9495" max="9728" width="8.88671875" style="22"/>
    <col min="9729" max="9729" width="2.88671875" style="22" customWidth="1"/>
    <col min="9730" max="9730" width="1.5546875" style="22" customWidth="1"/>
    <col min="9731" max="9747" width="7.77734375" style="22" customWidth="1"/>
    <col min="9748" max="9748" width="2" style="22" customWidth="1"/>
    <col min="9749" max="9750" width="7.77734375" style="22" customWidth="1"/>
    <col min="9751" max="9984" width="8.88671875" style="22"/>
    <col min="9985" max="9985" width="2.88671875" style="22" customWidth="1"/>
    <col min="9986" max="9986" width="1.5546875" style="22" customWidth="1"/>
    <col min="9987" max="10003" width="7.77734375" style="22" customWidth="1"/>
    <col min="10004" max="10004" width="2" style="22" customWidth="1"/>
    <col min="10005" max="10006" width="7.77734375" style="22" customWidth="1"/>
    <col min="10007" max="10240" width="8.88671875" style="22"/>
    <col min="10241" max="10241" width="2.88671875" style="22" customWidth="1"/>
    <col min="10242" max="10242" width="1.5546875" style="22" customWidth="1"/>
    <col min="10243" max="10259" width="7.77734375" style="22" customWidth="1"/>
    <col min="10260" max="10260" width="2" style="22" customWidth="1"/>
    <col min="10261" max="10262" width="7.77734375" style="22" customWidth="1"/>
    <col min="10263" max="10496" width="8.88671875" style="22"/>
    <col min="10497" max="10497" width="2.88671875" style="22" customWidth="1"/>
    <col min="10498" max="10498" width="1.5546875" style="22" customWidth="1"/>
    <col min="10499" max="10515" width="7.77734375" style="22" customWidth="1"/>
    <col min="10516" max="10516" width="2" style="22" customWidth="1"/>
    <col min="10517" max="10518" width="7.77734375" style="22" customWidth="1"/>
    <col min="10519" max="10752" width="8.88671875" style="22"/>
    <col min="10753" max="10753" width="2.88671875" style="22" customWidth="1"/>
    <col min="10754" max="10754" width="1.5546875" style="22" customWidth="1"/>
    <col min="10755" max="10771" width="7.77734375" style="22" customWidth="1"/>
    <col min="10772" max="10772" width="2" style="22" customWidth="1"/>
    <col min="10773" max="10774" width="7.77734375" style="22" customWidth="1"/>
    <col min="10775" max="11008" width="8.88671875" style="22"/>
    <col min="11009" max="11009" width="2.88671875" style="22" customWidth="1"/>
    <col min="11010" max="11010" width="1.5546875" style="22" customWidth="1"/>
    <col min="11011" max="11027" width="7.77734375" style="22" customWidth="1"/>
    <col min="11028" max="11028" width="2" style="22" customWidth="1"/>
    <col min="11029" max="11030" width="7.77734375" style="22" customWidth="1"/>
    <col min="11031" max="11264" width="8.88671875" style="22"/>
    <col min="11265" max="11265" width="2.88671875" style="22" customWidth="1"/>
    <col min="11266" max="11266" width="1.5546875" style="22" customWidth="1"/>
    <col min="11267" max="11283" width="7.77734375" style="22" customWidth="1"/>
    <col min="11284" max="11284" width="2" style="22" customWidth="1"/>
    <col min="11285" max="11286" width="7.77734375" style="22" customWidth="1"/>
    <col min="11287" max="11520" width="8.88671875" style="22"/>
    <col min="11521" max="11521" width="2.88671875" style="22" customWidth="1"/>
    <col min="11522" max="11522" width="1.5546875" style="22" customWidth="1"/>
    <col min="11523" max="11539" width="7.77734375" style="22" customWidth="1"/>
    <col min="11540" max="11540" width="2" style="22" customWidth="1"/>
    <col min="11541" max="11542" width="7.77734375" style="22" customWidth="1"/>
    <col min="11543" max="11776" width="8.88671875" style="22"/>
    <col min="11777" max="11777" width="2.88671875" style="22" customWidth="1"/>
    <col min="11778" max="11778" width="1.5546875" style="22" customWidth="1"/>
    <col min="11779" max="11795" width="7.77734375" style="22" customWidth="1"/>
    <col min="11796" max="11796" width="2" style="22" customWidth="1"/>
    <col min="11797" max="11798" width="7.77734375" style="22" customWidth="1"/>
    <col min="11799" max="12032" width="8.88671875" style="22"/>
    <col min="12033" max="12033" width="2.88671875" style="22" customWidth="1"/>
    <col min="12034" max="12034" width="1.5546875" style="22" customWidth="1"/>
    <col min="12035" max="12051" width="7.77734375" style="22" customWidth="1"/>
    <col min="12052" max="12052" width="2" style="22" customWidth="1"/>
    <col min="12053" max="12054" width="7.77734375" style="22" customWidth="1"/>
    <col min="12055" max="12288" width="8.88671875" style="22"/>
    <col min="12289" max="12289" width="2.88671875" style="22" customWidth="1"/>
    <col min="12290" max="12290" width="1.5546875" style="22" customWidth="1"/>
    <col min="12291" max="12307" width="7.77734375" style="22" customWidth="1"/>
    <col min="12308" max="12308" width="2" style="22" customWidth="1"/>
    <col min="12309" max="12310" width="7.77734375" style="22" customWidth="1"/>
    <col min="12311" max="12544" width="8.88671875" style="22"/>
    <col min="12545" max="12545" width="2.88671875" style="22" customWidth="1"/>
    <col min="12546" max="12546" width="1.5546875" style="22" customWidth="1"/>
    <col min="12547" max="12563" width="7.77734375" style="22" customWidth="1"/>
    <col min="12564" max="12564" width="2" style="22" customWidth="1"/>
    <col min="12565" max="12566" width="7.77734375" style="22" customWidth="1"/>
    <col min="12567" max="12800" width="8.88671875" style="22"/>
    <col min="12801" max="12801" width="2.88671875" style="22" customWidth="1"/>
    <col min="12802" max="12802" width="1.5546875" style="22" customWidth="1"/>
    <col min="12803" max="12819" width="7.77734375" style="22" customWidth="1"/>
    <col min="12820" max="12820" width="2" style="22" customWidth="1"/>
    <col min="12821" max="12822" width="7.77734375" style="22" customWidth="1"/>
    <col min="12823" max="13056" width="8.88671875" style="22"/>
    <col min="13057" max="13057" width="2.88671875" style="22" customWidth="1"/>
    <col min="13058" max="13058" width="1.5546875" style="22" customWidth="1"/>
    <col min="13059" max="13075" width="7.77734375" style="22" customWidth="1"/>
    <col min="13076" max="13076" width="2" style="22" customWidth="1"/>
    <col min="13077" max="13078" width="7.77734375" style="22" customWidth="1"/>
    <col min="13079" max="13312" width="8.88671875" style="22"/>
    <col min="13313" max="13313" width="2.88671875" style="22" customWidth="1"/>
    <col min="13314" max="13314" width="1.5546875" style="22" customWidth="1"/>
    <col min="13315" max="13331" width="7.77734375" style="22" customWidth="1"/>
    <col min="13332" max="13332" width="2" style="22" customWidth="1"/>
    <col min="13333" max="13334" width="7.77734375" style="22" customWidth="1"/>
    <col min="13335" max="13568" width="8.88671875" style="22"/>
    <col min="13569" max="13569" width="2.88671875" style="22" customWidth="1"/>
    <col min="13570" max="13570" width="1.5546875" style="22" customWidth="1"/>
    <col min="13571" max="13587" width="7.77734375" style="22" customWidth="1"/>
    <col min="13588" max="13588" width="2" style="22" customWidth="1"/>
    <col min="13589" max="13590" width="7.77734375" style="22" customWidth="1"/>
    <col min="13591" max="13824" width="8.88671875" style="22"/>
    <col min="13825" max="13825" width="2.88671875" style="22" customWidth="1"/>
    <col min="13826" max="13826" width="1.5546875" style="22" customWidth="1"/>
    <col min="13827" max="13843" width="7.77734375" style="22" customWidth="1"/>
    <col min="13844" max="13844" width="2" style="22" customWidth="1"/>
    <col min="13845" max="13846" width="7.77734375" style="22" customWidth="1"/>
    <col min="13847" max="14080" width="8.88671875" style="22"/>
    <col min="14081" max="14081" width="2.88671875" style="22" customWidth="1"/>
    <col min="14082" max="14082" width="1.5546875" style="22" customWidth="1"/>
    <col min="14083" max="14099" width="7.77734375" style="22" customWidth="1"/>
    <col min="14100" max="14100" width="2" style="22" customWidth="1"/>
    <col min="14101" max="14102" width="7.77734375" style="22" customWidth="1"/>
    <col min="14103" max="14336" width="8.88671875" style="22"/>
    <col min="14337" max="14337" width="2.88671875" style="22" customWidth="1"/>
    <col min="14338" max="14338" width="1.5546875" style="22" customWidth="1"/>
    <col min="14339" max="14355" width="7.77734375" style="22" customWidth="1"/>
    <col min="14356" max="14356" width="2" style="22" customWidth="1"/>
    <col min="14357" max="14358" width="7.77734375" style="22" customWidth="1"/>
    <col min="14359" max="14592" width="8.88671875" style="22"/>
    <col min="14593" max="14593" width="2.88671875" style="22" customWidth="1"/>
    <col min="14594" max="14594" width="1.5546875" style="22" customWidth="1"/>
    <col min="14595" max="14611" width="7.77734375" style="22" customWidth="1"/>
    <col min="14612" max="14612" width="2" style="22" customWidth="1"/>
    <col min="14613" max="14614" width="7.77734375" style="22" customWidth="1"/>
    <col min="14615" max="14848" width="8.88671875" style="22"/>
    <col min="14849" max="14849" width="2.88671875" style="22" customWidth="1"/>
    <col min="14850" max="14850" width="1.5546875" style="22" customWidth="1"/>
    <col min="14851" max="14867" width="7.77734375" style="22" customWidth="1"/>
    <col min="14868" max="14868" width="2" style="22" customWidth="1"/>
    <col min="14869" max="14870" width="7.77734375" style="22" customWidth="1"/>
    <col min="14871" max="15104" width="8.88671875" style="22"/>
    <col min="15105" max="15105" width="2.88671875" style="22" customWidth="1"/>
    <col min="15106" max="15106" width="1.5546875" style="22" customWidth="1"/>
    <col min="15107" max="15123" width="7.77734375" style="22" customWidth="1"/>
    <col min="15124" max="15124" width="2" style="22" customWidth="1"/>
    <col min="15125" max="15126" width="7.77734375" style="22" customWidth="1"/>
    <col min="15127" max="15360" width="8.88671875" style="22"/>
    <col min="15361" max="15361" width="2.88671875" style="22" customWidth="1"/>
    <col min="15362" max="15362" width="1.5546875" style="22" customWidth="1"/>
    <col min="15363" max="15379" width="7.77734375" style="22" customWidth="1"/>
    <col min="15380" max="15380" width="2" style="22" customWidth="1"/>
    <col min="15381" max="15382" width="7.77734375" style="22" customWidth="1"/>
    <col min="15383" max="15616" width="8.88671875" style="22"/>
    <col min="15617" max="15617" width="2.88671875" style="22" customWidth="1"/>
    <col min="15618" max="15618" width="1.5546875" style="22" customWidth="1"/>
    <col min="15619" max="15635" width="7.77734375" style="22" customWidth="1"/>
    <col min="15636" max="15636" width="2" style="22" customWidth="1"/>
    <col min="15637" max="15638" width="7.77734375" style="22" customWidth="1"/>
    <col min="15639" max="15872" width="8.88671875" style="22"/>
    <col min="15873" max="15873" width="2.88671875" style="22" customWidth="1"/>
    <col min="15874" max="15874" width="1.5546875" style="22" customWidth="1"/>
    <col min="15875" max="15891" width="7.77734375" style="22" customWidth="1"/>
    <col min="15892" max="15892" width="2" style="22" customWidth="1"/>
    <col min="15893" max="15894" width="7.77734375" style="22" customWidth="1"/>
    <col min="15895" max="16128" width="8.88671875" style="22"/>
    <col min="16129" max="16129" width="2.88671875" style="22" customWidth="1"/>
    <col min="16130" max="16130" width="1.5546875" style="22" customWidth="1"/>
    <col min="16131" max="16147" width="7.77734375" style="22" customWidth="1"/>
    <col min="16148" max="16148" width="2" style="22" customWidth="1"/>
    <col min="16149" max="16150" width="7.77734375" style="22" customWidth="1"/>
    <col min="16151" max="16384" width="8.88671875" style="22"/>
  </cols>
  <sheetData>
    <row r="1" spans="2:32" ht="51.75" customHeight="1" thickBot="1">
      <c r="B1" s="535" t="s">
        <v>167</v>
      </c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7"/>
    </row>
    <row r="2" spans="2:32" ht="14.25" thickBo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08"/>
      <c r="N2" s="108"/>
      <c r="O2" s="108"/>
      <c r="P2" s="108"/>
      <c r="Q2" s="108"/>
      <c r="R2" s="108"/>
      <c r="S2" s="108"/>
      <c r="T2" s="108"/>
      <c r="U2" s="10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2:32">
      <c r="B3" s="8"/>
      <c r="C3" s="531" t="s">
        <v>34</v>
      </c>
      <c r="D3" s="532"/>
      <c r="E3" s="532"/>
      <c r="F3" s="532"/>
      <c r="G3" s="532"/>
      <c r="H3" s="538" t="str">
        <f>Input!H7</f>
        <v>분리형</v>
      </c>
      <c r="I3" s="539"/>
      <c r="J3" s="109"/>
      <c r="K3" s="109"/>
      <c r="L3" s="109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2:32" ht="14.25" thickBot="1">
      <c r="B4" s="8"/>
      <c r="C4" s="533" t="s">
        <v>35</v>
      </c>
      <c r="D4" s="534"/>
      <c r="E4" s="534"/>
      <c r="F4" s="534"/>
      <c r="G4" s="534"/>
      <c r="H4" s="540" t="str">
        <f>Input!C16</f>
        <v>"직접입력"</v>
      </c>
      <c r="I4" s="541"/>
      <c r="J4" s="110"/>
      <c r="K4" s="110"/>
      <c r="L4" s="110"/>
      <c r="N4" s="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2:32" ht="14.25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7"/>
      <c r="P5" s="7"/>
      <c r="Q5" s="7"/>
      <c r="R5" s="7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2" ht="22.5" customHeight="1" thickBot="1">
      <c r="B6" s="526" t="s">
        <v>95</v>
      </c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4.25" thickBot="1">
      <c r="B7" s="111"/>
      <c r="C7" s="7"/>
      <c r="D7" s="7"/>
      <c r="E7" s="7"/>
      <c r="F7" s="7"/>
      <c r="G7" s="7"/>
      <c r="H7" s="7"/>
      <c r="I7" s="7"/>
      <c r="J7" s="7"/>
      <c r="K7" s="7"/>
      <c r="L7" s="7"/>
      <c r="M7" s="112"/>
      <c r="N7" s="7"/>
      <c r="O7" s="7"/>
      <c r="P7" s="7"/>
      <c r="Q7" s="7"/>
      <c r="R7" s="7"/>
      <c r="S7" s="7"/>
      <c r="T7" s="7"/>
      <c r="U7" s="7"/>
      <c r="V7" s="113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2:32" ht="48">
      <c r="B8" s="111"/>
      <c r="C8" s="529" t="s">
        <v>83</v>
      </c>
      <c r="D8" s="114" t="s">
        <v>84</v>
      </c>
      <c r="E8" s="115" t="s">
        <v>85</v>
      </c>
      <c r="F8" s="115" t="s">
        <v>86</v>
      </c>
      <c r="G8" s="115" t="s">
        <v>87</v>
      </c>
      <c r="H8" s="115" t="s">
        <v>88</v>
      </c>
      <c r="I8" s="115" t="s">
        <v>89</v>
      </c>
      <c r="J8" s="115" t="s">
        <v>90</v>
      </c>
      <c r="K8" s="116" t="s">
        <v>166</v>
      </c>
      <c r="L8" s="7"/>
      <c r="M8" s="112"/>
      <c r="N8" s="7"/>
      <c r="O8" s="7"/>
      <c r="P8" s="7"/>
      <c r="Q8" s="7"/>
      <c r="R8" s="7"/>
      <c r="S8" s="7"/>
      <c r="T8" s="7"/>
      <c r="U8" s="7"/>
      <c r="V8" s="113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2:32" ht="20.25" customHeight="1" thickBot="1">
      <c r="B9" s="111"/>
      <c r="C9" s="530"/>
      <c r="D9" s="117" t="e">
        <f>U36</f>
        <v>#VALUE!</v>
      </c>
      <c r="E9" s="118" t="e">
        <f>ROUND(S36*2.5/1000,1)</f>
        <v>#VALUE!</v>
      </c>
      <c r="F9" s="118" t="e">
        <f>E9/4</f>
        <v>#VALUE!</v>
      </c>
      <c r="G9" s="119" t="e">
        <f>E9*1000/941</f>
        <v>#VALUE!</v>
      </c>
      <c r="H9" s="120" t="e">
        <f>G9*0.425</f>
        <v>#VALUE!</v>
      </c>
      <c r="I9" s="118" t="e">
        <f>R36/1000</f>
        <v>#VALUE!</v>
      </c>
      <c r="J9" s="118" t="e">
        <f>ROUND(S36*2.5/1000,1)</f>
        <v>#VALUE!</v>
      </c>
      <c r="K9" s="121" t="e">
        <f>ROUND(F9*113,-3)</f>
        <v>#VALUE!</v>
      </c>
      <c r="L9" s="7"/>
      <c r="M9" s="112"/>
      <c r="N9" s="7"/>
      <c r="O9" s="7"/>
      <c r="P9" s="7"/>
      <c r="Q9" s="7"/>
      <c r="R9" s="7"/>
      <c r="S9" s="7"/>
      <c r="T9" s="7"/>
      <c r="U9" s="7"/>
      <c r="V9" s="113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2:32">
      <c r="B10" s="111"/>
      <c r="C10" s="7"/>
      <c r="D10" s="7"/>
      <c r="E10" s="7"/>
      <c r="F10" s="7"/>
      <c r="G10" s="7"/>
      <c r="H10" s="7"/>
      <c r="I10" s="7"/>
      <c r="J10" s="7"/>
      <c r="K10" s="7"/>
      <c r="L10" s="7"/>
      <c r="M10" s="112"/>
      <c r="N10" s="7"/>
      <c r="O10" s="7"/>
      <c r="P10" s="7"/>
      <c r="Q10" s="7"/>
      <c r="R10" s="7"/>
      <c r="S10" s="7"/>
      <c r="T10" s="7"/>
      <c r="U10" s="7"/>
      <c r="V10" s="113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2:32">
      <c r="B11" s="111"/>
      <c r="C11" s="122"/>
      <c r="D11" s="122"/>
      <c r="E11" s="122"/>
      <c r="F11" s="122"/>
      <c r="G11" s="122"/>
      <c r="H11" s="122"/>
      <c r="I11" s="122"/>
      <c r="J11" s="122"/>
      <c r="K11" s="6"/>
      <c r="L11" s="6"/>
      <c r="M11" s="6"/>
      <c r="N11" s="7"/>
      <c r="O11" s="7"/>
      <c r="P11" s="7"/>
      <c r="Q11" s="7"/>
      <c r="R11" s="7"/>
      <c r="S11" s="7"/>
      <c r="T11" s="7"/>
      <c r="U11" s="7"/>
      <c r="V11" s="113"/>
      <c r="W11" s="7"/>
      <c r="X11" s="6"/>
      <c r="Y11" s="9"/>
      <c r="Z11" s="7"/>
      <c r="AA11" s="7"/>
      <c r="AB11" s="7"/>
      <c r="AC11" s="7"/>
      <c r="AD11" s="7"/>
      <c r="AE11" s="8"/>
      <c r="AF11" s="8"/>
    </row>
    <row r="12" spans="2:32">
      <c r="B12" s="111"/>
      <c r="C12" s="123"/>
      <c r="D12" s="124"/>
      <c r="E12" s="519" t="s">
        <v>37</v>
      </c>
      <c r="F12" s="520"/>
      <c r="G12" s="519" t="s">
        <v>39</v>
      </c>
      <c r="H12" s="521"/>
      <c r="I12" s="522"/>
      <c r="J12" s="519" t="s">
        <v>38</v>
      </c>
      <c r="K12" s="523"/>
      <c r="L12" s="520"/>
      <c r="M12" s="519" t="s">
        <v>40</v>
      </c>
      <c r="N12" s="521"/>
      <c r="O12" s="522"/>
      <c r="P12" s="517" t="s">
        <v>58</v>
      </c>
      <c r="Q12" s="517"/>
      <c r="R12" s="517"/>
      <c r="S12" s="518">
        <v>0.25</v>
      </c>
      <c r="T12" s="518"/>
      <c r="U12" s="518"/>
      <c r="V12" s="113"/>
      <c r="W12" s="7"/>
      <c r="X12" s="7"/>
      <c r="Y12" s="7"/>
      <c r="Z12" s="7"/>
      <c r="AA12" s="7"/>
      <c r="AB12" s="7"/>
      <c r="AC12" s="10"/>
      <c r="AD12" s="7"/>
      <c r="AE12" s="8"/>
      <c r="AF12" s="8"/>
    </row>
    <row r="13" spans="2:32">
      <c r="B13" s="111"/>
      <c r="C13" s="125"/>
      <c r="D13" s="126"/>
      <c r="E13" s="127" t="s">
        <v>43</v>
      </c>
      <c r="F13" s="127" t="s">
        <v>44</v>
      </c>
      <c r="G13" s="128" t="s">
        <v>47</v>
      </c>
      <c r="H13" s="128" t="s">
        <v>46</v>
      </c>
      <c r="I13" s="128" t="s">
        <v>78</v>
      </c>
      <c r="J13" s="128" t="s">
        <v>47</v>
      </c>
      <c r="K13" s="128" t="s">
        <v>46</v>
      </c>
      <c r="L13" s="128" t="s">
        <v>79</v>
      </c>
      <c r="M13" s="128" t="s">
        <v>47</v>
      </c>
      <c r="N13" s="128" t="s">
        <v>46</v>
      </c>
      <c r="O13" s="128" t="s">
        <v>79</v>
      </c>
      <c r="P13" s="517" t="s">
        <v>57</v>
      </c>
      <c r="Q13" s="517"/>
      <c r="R13" s="517"/>
      <c r="S13" s="517"/>
      <c r="T13" s="517"/>
      <c r="U13" s="517"/>
      <c r="V13" s="113"/>
      <c r="W13" s="7"/>
      <c r="X13" s="7"/>
      <c r="Y13" s="7"/>
      <c r="Z13" s="7"/>
      <c r="AA13" s="7"/>
      <c r="AB13" s="7"/>
      <c r="AC13" s="10"/>
      <c r="AD13" s="7"/>
      <c r="AE13" s="8"/>
      <c r="AF13" s="8"/>
    </row>
    <row r="14" spans="2:32">
      <c r="B14" s="111"/>
      <c r="C14" s="129"/>
      <c r="D14" s="130"/>
      <c r="E14" s="131" t="s">
        <v>104</v>
      </c>
      <c r="F14" s="132" t="s">
        <v>45</v>
      </c>
      <c r="G14" s="133" t="s">
        <v>6</v>
      </c>
      <c r="H14" s="133" t="s">
        <v>6</v>
      </c>
      <c r="I14" s="133"/>
      <c r="J14" s="133" t="s">
        <v>6</v>
      </c>
      <c r="K14" s="133" t="s">
        <v>6</v>
      </c>
      <c r="L14" s="133"/>
      <c r="M14" s="133" t="s">
        <v>6</v>
      </c>
      <c r="N14" s="133" t="s">
        <v>6</v>
      </c>
      <c r="O14" s="133"/>
      <c r="P14" s="127" t="s">
        <v>54</v>
      </c>
      <c r="Q14" s="134" t="e">
        <f>(70*G16-58*G15+23*H4)/(2*G16-2*G15+H4)</f>
        <v>#VALUE!</v>
      </c>
      <c r="R14" s="127" t="s">
        <v>51</v>
      </c>
      <c r="S14" s="135" t="e">
        <f>H15+(H16-H15)*(35-Q14)/6</f>
        <v>#VALUE!</v>
      </c>
      <c r="T14" s="127" t="s">
        <v>48</v>
      </c>
      <c r="U14" s="135" t="e">
        <f>($G$15-$G$16)/(35-29)*(Q14-35)+$G$15</f>
        <v>#VALUE!</v>
      </c>
      <c r="V14" s="136"/>
      <c r="W14" s="12"/>
      <c r="X14" s="6"/>
      <c r="Y14" s="9"/>
      <c r="Z14" s="7"/>
      <c r="AA14" s="7"/>
      <c r="AB14" s="7"/>
      <c r="AC14" s="10"/>
      <c r="AD14" s="7"/>
      <c r="AE14" s="8"/>
      <c r="AF14" s="8"/>
    </row>
    <row r="15" spans="2:32">
      <c r="B15" s="111"/>
      <c r="C15" s="519" t="s">
        <v>41</v>
      </c>
      <c r="D15" s="520"/>
      <c r="E15" s="524" t="s">
        <v>7</v>
      </c>
      <c r="F15" s="137" t="s">
        <v>8</v>
      </c>
      <c r="G15" s="13" t="e">
        <f>G16/1.077</f>
        <v>#VALUE!</v>
      </c>
      <c r="H15" s="13" t="e">
        <f>H16/0.864</f>
        <v>#VALUE!</v>
      </c>
      <c r="I15" s="138" t="e">
        <f>G15/H15</f>
        <v>#VALUE!</v>
      </c>
      <c r="J15" s="20" t="str">
        <f>Input!E44</f>
        <v>"결과입력"</v>
      </c>
      <c r="K15" s="20" t="str">
        <f>Input!E45</f>
        <v>"결과입력"</v>
      </c>
      <c r="L15" s="138" t="e">
        <f>J15/K15</f>
        <v>#VALUE!</v>
      </c>
      <c r="M15" s="20" t="str">
        <f>Input!E42</f>
        <v>"결과입력"</v>
      </c>
      <c r="N15" s="21" t="str">
        <f>Input!E43</f>
        <v>"결과입력"</v>
      </c>
      <c r="O15" s="139" t="e">
        <f>M15/N15</f>
        <v>#VALUE!</v>
      </c>
      <c r="P15" s="127" t="s">
        <v>55</v>
      </c>
      <c r="Q15" s="134" t="e">
        <f>(70*M16-58*M15+23*H4)/(2*M16-2*M15+H4)</f>
        <v>#VALUE!</v>
      </c>
      <c r="R15" s="127" t="s">
        <v>52</v>
      </c>
      <c r="S15" s="140" t="e">
        <f>N15+(N16-N15)*(35-Q15)/6</f>
        <v>#VALUE!</v>
      </c>
      <c r="T15" s="127" t="s">
        <v>49</v>
      </c>
      <c r="U15" s="135" t="e">
        <f>($M$15-$M$16)/(35-29)*(Q15-35)+$M$15</f>
        <v>#VALUE!</v>
      </c>
      <c r="V15" s="136"/>
      <c r="W15" s="9"/>
      <c r="X15" s="6"/>
      <c r="Y15" s="9"/>
      <c r="Z15" s="7"/>
      <c r="AA15" s="7"/>
      <c r="AB15" s="7"/>
      <c r="AC15" s="7"/>
      <c r="AD15" s="7"/>
      <c r="AE15" s="8"/>
      <c r="AF15" s="8"/>
    </row>
    <row r="16" spans="2:32">
      <c r="B16" s="111"/>
      <c r="C16" s="519" t="s">
        <v>42</v>
      </c>
      <c r="D16" s="520"/>
      <c r="E16" s="525"/>
      <c r="F16" s="137" t="s">
        <v>9</v>
      </c>
      <c r="G16" s="20" t="str">
        <f>Input!E46</f>
        <v>"결과입력"</v>
      </c>
      <c r="H16" s="20" t="str">
        <f>Input!E47</f>
        <v>"결과입력"</v>
      </c>
      <c r="I16" s="138" t="e">
        <f>G16/H16</f>
        <v>#VALUE!</v>
      </c>
      <c r="J16" s="13" t="e">
        <f>1.077*J15</f>
        <v>#VALUE!</v>
      </c>
      <c r="K16" s="13" t="e">
        <f>0.864*K15</f>
        <v>#VALUE!</v>
      </c>
      <c r="L16" s="138" t="e">
        <f>J16/K16</f>
        <v>#VALUE!</v>
      </c>
      <c r="M16" s="13" t="e">
        <f>1.077*M15</f>
        <v>#VALUE!</v>
      </c>
      <c r="N16" s="13" t="e">
        <f>0.864*N15</f>
        <v>#VALUE!</v>
      </c>
      <c r="O16" s="141" t="e">
        <f>M16/N16</f>
        <v>#VALUE!</v>
      </c>
      <c r="P16" s="127" t="s">
        <v>56</v>
      </c>
      <c r="Q16" s="134" t="e">
        <f>(70*J16-58*J15+23*H4)/(2*J16-2*J15+H4)</f>
        <v>#VALUE!</v>
      </c>
      <c r="R16" s="127" t="s">
        <v>53</v>
      </c>
      <c r="S16" s="142" t="e">
        <f>K15+(K16-K15)*(35-Q16)/6</f>
        <v>#VALUE!</v>
      </c>
      <c r="T16" s="127" t="s">
        <v>50</v>
      </c>
      <c r="U16" s="135" t="e">
        <f>($J$15-$J$16)/(35-29)*(Q16-35)+$J$15</f>
        <v>#VALUE!</v>
      </c>
      <c r="V16" s="136"/>
      <c r="W16" s="12"/>
      <c r="X16" s="6"/>
      <c r="Y16" s="12"/>
      <c r="Z16" s="7"/>
      <c r="AA16" s="7"/>
      <c r="AB16" s="7"/>
      <c r="AC16" s="7"/>
      <c r="AD16" s="7"/>
      <c r="AE16" s="8"/>
      <c r="AF16" s="8"/>
    </row>
    <row r="17" spans="2:32" ht="14.25" thickBot="1">
      <c r="B17" s="111"/>
      <c r="C17" s="7"/>
      <c r="D17" s="7"/>
      <c r="E17" s="7"/>
      <c r="F17" s="7"/>
      <c r="G17" s="143"/>
      <c r="H17" s="143"/>
      <c r="I17" s="7"/>
      <c r="J17" s="7"/>
      <c r="K17" s="7"/>
      <c r="L17" s="7"/>
      <c r="M17" s="7"/>
      <c r="N17" s="7"/>
      <c r="O17" s="7"/>
      <c r="P17" s="7"/>
      <c r="Q17" s="9"/>
      <c r="R17" s="144"/>
      <c r="S17" s="7"/>
      <c r="T17" s="144"/>
      <c r="U17" s="7"/>
      <c r="V17" s="136"/>
      <c r="W17" s="9"/>
      <c r="X17" s="6"/>
      <c r="Y17" s="12"/>
      <c r="Z17" s="7"/>
      <c r="AA17" s="7"/>
      <c r="AB17" s="7"/>
      <c r="AC17" s="7"/>
      <c r="AD17" s="7"/>
      <c r="AE17" s="8"/>
      <c r="AF17" s="8"/>
    </row>
    <row r="18" spans="2:32">
      <c r="B18" s="111"/>
      <c r="C18" s="514" t="s">
        <v>93</v>
      </c>
      <c r="D18" s="515"/>
      <c r="E18" s="516"/>
      <c r="F18" s="145"/>
      <c r="G18" s="146" t="s">
        <v>59</v>
      </c>
      <c r="H18" s="146" t="s">
        <v>81</v>
      </c>
      <c r="I18" s="147" t="s">
        <v>60</v>
      </c>
      <c r="J18" s="147" t="s">
        <v>60</v>
      </c>
      <c r="K18" s="148" t="s">
        <v>61</v>
      </c>
      <c r="L18" s="148" t="s">
        <v>61</v>
      </c>
      <c r="M18" s="149" t="s">
        <v>62</v>
      </c>
      <c r="N18" s="150"/>
      <c r="O18" s="150"/>
      <c r="P18" s="150"/>
      <c r="Q18" s="150"/>
      <c r="R18" s="150" t="s">
        <v>75</v>
      </c>
      <c r="S18" s="150" t="s">
        <v>77</v>
      </c>
      <c r="T18" s="150"/>
      <c r="U18" s="151"/>
      <c r="V18" s="152"/>
      <c r="W18" s="7"/>
      <c r="X18" s="7"/>
      <c r="Y18" s="7"/>
      <c r="Z18" s="7"/>
      <c r="AA18" s="7"/>
      <c r="AB18" s="8"/>
      <c r="AC18" s="8"/>
      <c r="AD18" s="8"/>
      <c r="AE18" s="8"/>
      <c r="AF18" s="8"/>
    </row>
    <row r="19" spans="2:32">
      <c r="B19" s="111"/>
      <c r="C19" s="153" t="s">
        <v>63</v>
      </c>
      <c r="D19" s="99" t="s">
        <v>64</v>
      </c>
      <c r="E19" s="95" t="s">
        <v>65</v>
      </c>
      <c r="F19" s="154" t="s">
        <v>66</v>
      </c>
      <c r="G19" s="155" t="s">
        <v>82</v>
      </c>
      <c r="H19" s="155" t="s">
        <v>80</v>
      </c>
      <c r="I19" s="156" t="s">
        <v>67</v>
      </c>
      <c r="J19" s="156" t="s">
        <v>17</v>
      </c>
      <c r="K19" s="157" t="s">
        <v>68</v>
      </c>
      <c r="L19" s="157" t="s">
        <v>17</v>
      </c>
      <c r="M19" s="158" t="s">
        <v>69</v>
      </c>
      <c r="N19" s="40" t="s">
        <v>70</v>
      </c>
      <c r="O19" s="158" t="s">
        <v>106</v>
      </c>
      <c r="P19" s="158" t="s">
        <v>67</v>
      </c>
      <c r="Q19" s="158" t="s">
        <v>17</v>
      </c>
      <c r="R19" s="158" t="s">
        <v>74</v>
      </c>
      <c r="S19" s="158" t="s">
        <v>76</v>
      </c>
      <c r="T19" s="158" t="s">
        <v>103</v>
      </c>
      <c r="U19" s="159" t="s">
        <v>73</v>
      </c>
      <c r="V19" s="113"/>
      <c r="W19" s="7"/>
      <c r="X19" s="7"/>
      <c r="Y19" s="7"/>
      <c r="Z19" s="7"/>
      <c r="AA19" s="7"/>
      <c r="AB19" s="8"/>
      <c r="AC19" s="8"/>
      <c r="AD19" s="8"/>
      <c r="AE19" s="8"/>
      <c r="AF19" s="8"/>
    </row>
    <row r="20" spans="2:32">
      <c r="B20" s="111"/>
      <c r="C20" s="160" t="s">
        <v>71</v>
      </c>
      <c r="D20" s="49" t="s">
        <v>10</v>
      </c>
      <c r="E20" s="96" t="s">
        <v>108</v>
      </c>
      <c r="F20" s="67" t="s">
        <v>6</v>
      </c>
      <c r="G20" s="161" t="s">
        <v>6</v>
      </c>
      <c r="H20" s="161" t="s">
        <v>6</v>
      </c>
      <c r="I20" s="162" t="s">
        <v>6</v>
      </c>
      <c r="J20" s="162" t="s">
        <v>6</v>
      </c>
      <c r="K20" s="163" t="s">
        <v>6</v>
      </c>
      <c r="L20" s="163" t="s">
        <v>6</v>
      </c>
      <c r="M20" s="48" t="s">
        <v>105</v>
      </c>
      <c r="N20" s="158" t="s">
        <v>72</v>
      </c>
      <c r="O20" s="40" t="s">
        <v>107</v>
      </c>
      <c r="P20" s="49" t="s">
        <v>6</v>
      </c>
      <c r="Q20" s="49" t="s">
        <v>6</v>
      </c>
      <c r="R20" s="49" t="s">
        <v>91</v>
      </c>
      <c r="S20" s="49" t="s">
        <v>91</v>
      </c>
      <c r="T20" s="49"/>
      <c r="U20" s="164"/>
      <c r="V20" s="165"/>
      <c r="W20" s="14"/>
      <c r="X20" s="14"/>
      <c r="Y20" s="14"/>
      <c r="Z20" s="14"/>
      <c r="AA20" s="7"/>
      <c r="AB20" s="8"/>
      <c r="AC20" s="8"/>
      <c r="AD20" s="8"/>
      <c r="AE20" s="8"/>
      <c r="AF20" s="8"/>
    </row>
    <row r="21" spans="2:32">
      <c r="B21" s="111"/>
      <c r="C21" s="166">
        <v>1</v>
      </c>
      <c r="D21" s="167">
        <f t="shared" ref="D21:D35" si="0">23+C21</f>
        <v>24</v>
      </c>
      <c r="E21" s="167">
        <v>152</v>
      </c>
      <c r="F21" s="168" t="e">
        <f>$H$4*(D21-23)/12</f>
        <v>#VALUE!</v>
      </c>
      <c r="G21" s="169" t="e">
        <f>($G$15-$G$16)/(35-29)*(D21-35)+$G$15</f>
        <v>#VALUE!</v>
      </c>
      <c r="H21" s="169" t="e">
        <f>($H$15-$H$16)/(35-29)*(D21-35)+$H$15</f>
        <v>#VALUE!</v>
      </c>
      <c r="I21" s="170" t="e">
        <f>($J$15-$J$16)/(35-29)*(D21-35)+$J$15</f>
        <v>#VALUE!</v>
      </c>
      <c r="J21" s="170" t="e">
        <f>($K$15-$K$16)/(35-29)*(D21-35)+$K$15</f>
        <v>#VALUE!</v>
      </c>
      <c r="K21" s="171" t="e">
        <f>($M$15-$M$16)/(35-29)*(D21-35)+$M$15</f>
        <v>#VALUE!</v>
      </c>
      <c r="L21" s="171" t="e">
        <f>($N$15-$N$16)/(35-29)*(D21-35)+$N$15</f>
        <v>#VALUE!</v>
      </c>
      <c r="M21" s="50" t="e">
        <f t="shared" ref="M21:M35" si="1">IF(F21&lt;=G21,1,IF(F21&lt;=I21,2,IF(F21&lt;=K21,3,IF(F21&gt;K21,4))))</f>
        <v>#VALUE!</v>
      </c>
      <c r="N21" s="172" t="e">
        <f t="shared" ref="N21:N35" si="2">(1&lt;=F21/G21)+(1&gt;F21/G21)*(F21/G21)</f>
        <v>#VALUE!</v>
      </c>
      <c r="O21" s="172" t="e">
        <f>1-$S$12*(1-N21)</f>
        <v>#VALUE!</v>
      </c>
      <c r="P21" s="168" t="e">
        <f>($F21&lt;=$G21)*$G21+(($G21&lt;$F21)*($F21&lt;=$I21))*$F21+(($I21&lt;$F21)*($F21&lt;=$K21))*$F21+($F21&gt;$K21)*$K21</f>
        <v>#VALUE!</v>
      </c>
      <c r="Q21" s="168" t="e">
        <f>($F21&lt;=$G21)*$H21+(($G21&lt;$F21)*($F21&lt;=$I21))*IF($G21=$I21,0,(($S$16-$S$14)/($Q$16-$Q$14)*($D21-$Q$16)+$S$16))+(($I21&lt;$F21)*($F21&lt;=$K21))*IF($I21=$K21,0,(($S$15-$S$16)/($Q$15-$Q$16)*($D21-$Q$15)+$S$15))+($F21&gt;$K21)*$L21</f>
        <v>#VALUE!</v>
      </c>
      <c r="R21" s="168" t="e">
        <f>$P21*$N21*$E21</f>
        <v>#VALUE!</v>
      </c>
      <c r="S21" s="168" t="e">
        <f>$Q21*$N21/$O21*$E21</f>
        <v>#VALUE!</v>
      </c>
      <c r="T21" s="172" t="e">
        <f>$P21/$Q21</f>
        <v>#VALUE!</v>
      </c>
      <c r="U21" s="173" t="e">
        <f>R21/S21</f>
        <v>#VALUE!</v>
      </c>
      <c r="V21" s="174"/>
      <c r="W21" s="14"/>
      <c r="X21" s="14"/>
      <c r="Y21" s="7"/>
      <c r="Z21" s="7"/>
      <c r="AA21" s="7"/>
      <c r="AB21" s="8"/>
      <c r="AC21" s="8"/>
      <c r="AD21" s="8"/>
      <c r="AE21" s="8"/>
      <c r="AF21" s="8"/>
    </row>
    <row r="22" spans="2:32">
      <c r="B22" s="111"/>
      <c r="C22" s="166">
        <f t="shared" ref="C22:C35" si="3">C21+1</f>
        <v>2</v>
      </c>
      <c r="D22" s="167">
        <f t="shared" si="0"/>
        <v>25</v>
      </c>
      <c r="E22" s="167">
        <v>146</v>
      </c>
      <c r="F22" s="168" t="e">
        <f t="shared" ref="F22:F35" si="4">$H$4*(D22-23)/12</f>
        <v>#VALUE!</v>
      </c>
      <c r="G22" s="169" t="e">
        <f t="shared" ref="G22:G35" si="5">($G$15-$G$16)/(35-29)*(D22-35)+$G$15</f>
        <v>#VALUE!</v>
      </c>
      <c r="H22" s="169" t="e">
        <f t="shared" ref="H22:H35" si="6">($H$15-$H$16)/(35-29)*(D22-35)+$H$15</f>
        <v>#VALUE!</v>
      </c>
      <c r="I22" s="170" t="e">
        <f t="shared" ref="I22:I35" si="7">($J$15-$J$16)/(35-29)*(D22-35)+$J$15</f>
        <v>#VALUE!</v>
      </c>
      <c r="J22" s="170" t="e">
        <f t="shared" ref="J22:J35" si="8">($K$15-$K$16)/(35-29)*(D22-35)+$K$15</f>
        <v>#VALUE!</v>
      </c>
      <c r="K22" s="171" t="e">
        <f t="shared" ref="K22:K35" si="9">($M$15-$M$16)/(35-29)*(D22-35)+$M$15</f>
        <v>#VALUE!</v>
      </c>
      <c r="L22" s="171" t="e">
        <f t="shared" ref="L22:L35" si="10">($N$15-$N$16)/(35-29)*(D22-35)+$N$15</f>
        <v>#VALUE!</v>
      </c>
      <c r="M22" s="50" t="e">
        <f t="shared" si="1"/>
        <v>#VALUE!</v>
      </c>
      <c r="N22" s="172" t="e">
        <f t="shared" si="2"/>
        <v>#VALUE!</v>
      </c>
      <c r="O22" s="172" t="e">
        <f t="shared" ref="O22:O35" si="11">1-$S$12*(1-N22)</f>
        <v>#VALUE!</v>
      </c>
      <c r="P22" s="168" t="e">
        <f t="shared" ref="P22:P35" si="12">($F22&lt;=$G22)*$G22+(($G22&lt;$F22)*($F22&lt;=$I22))*$F22+(($I22&lt;$F22)*($F22&lt;=$K22))*$F22+($F22&gt;$K22)*$K22</f>
        <v>#VALUE!</v>
      </c>
      <c r="Q22" s="168" t="e">
        <f t="shared" ref="Q22:Q35" si="13">($F22&lt;=$G22)*$H22+(($G22&lt;$F22)*($F22&lt;=$I22))*IF($G22=$I22,0,(($S$16-$S$14)/($Q$16-$Q$14)*($D22-$Q$16)+$S$16))+(($I22&lt;$F22)*($F22&lt;=$K22))*IF($I22=$K22,0,(($S$15-$S$16)/($Q$15-$Q$16)*($D22-$Q$15)+$S$15))+($F22&gt;$K22)*$L22</f>
        <v>#VALUE!</v>
      </c>
      <c r="R22" s="168" t="e">
        <f t="shared" ref="R22:R35" si="14">$P22*$N22*$E22</f>
        <v>#VALUE!</v>
      </c>
      <c r="S22" s="168" t="e">
        <f t="shared" ref="S22:S35" si="15">$Q22*$N22/$O22*$E22</f>
        <v>#VALUE!</v>
      </c>
      <c r="T22" s="172" t="e">
        <f t="shared" ref="T22:T35" si="16">$P22/$Q22</f>
        <v>#VALUE!</v>
      </c>
      <c r="U22" s="173" t="e">
        <f t="shared" ref="U22:U36" si="17">R22/S22</f>
        <v>#VALUE!</v>
      </c>
      <c r="V22" s="165"/>
      <c r="W22" s="15"/>
      <c r="X22" s="15"/>
      <c r="Y22" s="11"/>
      <c r="Z22" s="11"/>
      <c r="AA22" s="11"/>
      <c r="AB22" s="8"/>
      <c r="AC22" s="8"/>
      <c r="AD22" s="8"/>
      <c r="AE22" s="8"/>
      <c r="AF22" s="8"/>
    </row>
    <row r="23" spans="2:32">
      <c r="B23" s="111"/>
      <c r="C23" s="166">
        <f t="shared" si="3"/>
        <v>3</v>
      </c>
      <c r="D23" s="167">
        <f t="shared" si="0"/>
        <v>26</v>
      </c>
      <c r="E23" s="167">
        <v>140</v>
      </c>
      <c r="F23" s="168" t="e">
        <f t="shared" si="4"/>
        <v>#VALUE!</v>
      </c>
      <c r="G23" s="169" t="e">
        <f t="shared" si="5"/>
        <v>#VALUE!</v>
      </c>
      <c r="H23" s="169" t="e">
        <f t="shared" si="6"/>
        <v>#VALUE!</v>
      </c>
      <c r="I23" s="170" t="e">
        <f t="shared" si="7"/>
        <v>#VALUE!</v>
      </c>
      <c r="J23" s="170" t="e">
        <f t="shared" si="8"/>
        <v>#VALUE!</v>
      </c>
      <c r="K23" s="171" t="e">
        <f t="shared" si="9"/>
        <v>#VALUE!</v>
      </c>
      <c r="L23" s="171" t="e">
        <f t="shared" si="10"/>
        <v>#VALUE!</v>
      </c>
      <c r="M23" s="50" t="e">
        <f t="shared" si="1"/>
        <v>#VALUE!</v>
      </c>
      <c r="N23" s="172" t="e">
        <f t="shared" si="2"/>
        <v>#VALUE!</v>
      </c>
      <c r="O23" s="172" t="e">
        <f t="shared" si="11"/>
        <v>#VALUE!</v>
      </c>
      <c r="P23" s="168" t="e">
        <f t="shared" si="12"/>
        <v>#VALUE!</v>
      </c>
      <c r="Q23" s="168" t="e">
        <f t="shared" si="13"/>
        <v>#VALUE!</v>
      </c>
      <c r="R23" s="168" t="e">
        <f t="shared" si="14"/>
        <v>#VALUE!</v>
      </c>
      <c r="S23" s="168" t="e">
        <f t="shared" si="15"/>
        <v>#VALUE!</v>
      </c>
      <c r="T23" s="172" t="e">
        <f t="shared" si="16"/>
        <v>#VALUE!</v>
      </c>
      <c r="U23" s="173" t="e">
        <f t="shared" si="17"/>
        <v>#VALUE!</v>
      </c>
      <c r="V23" s="174"/>
      <c r="W23" s="15"/>
      <c r="X23" s="15"/>
      <c r="Y23" s="11"/>
      <c r="Z23" s="11"/>
      <c r="AA23" s="7"/>
      <c r="AB23" s="8"/>
      <c r="AC23" s="8"/>
      <c r="AD23" s="8"/>
      <c r="AE23" s="8"/>
      <c r="AF23" s="8"/>
    </row>
    <row r="24" spans="2:32">
      <c r="B24" s="111"/>
      <c r="C24" s="166">
        <f t="shared" si="3"/>
        <v>4</v>
      </c>
      <c r="D24" s="167">
        <f t="shared" si="0"/>
        <v>27</v>
      </c>
      <c r="E24" s="167">
        <v>130</v>
      </c>
      <c r="F24" s="168" t="e">
        <f t="shared" si="4"/>
        <v>#VALUE!</v>
      </c>
      <c r="G24" s="169" t="e">
        <f t="shared" si="5"/>
        <v>#VALUE!</v>
      </c>
      <c r="H24" s="169" t="e">
        <f t="shared" si="6"/>
        <v>#VALUE!</v>
      </c>
      <c r="I24" s="170" t="e">
        <f t="shared" si="7"/>
        <v>#VALUE!</v>
      </c>
      <c r="J24" s="170" t="e">
        <f t="shared" si="8"/>
        <v>#VALUE!</v>
      </c>
      <c r="K24" s="171" t="e">
        <f t="shared" si="9"/>
        <v>#VALUE!</v>
      </c>
      <c r="L24" s="171" t="e">
        <f t="shared" si="10"/>
        <v>#VALUE!</v>
      </c>
      <c r="M24" s="50" t="e">
        <f t="shared" si="1"/>
        <v>#VALUE!</v>
      </c>
      <c r="N24" s="172" t="e">
        <f t="shared" si="2"/>
        <v>#VALUE!</v>
      </c>
      <c r="O24" s="172" t="e">
        <f t="shared" si="11"/>
        <v>#VALUE!</v>
      </c>
      <c r="P24" s="168" t="e">
        <f t="shared" si="12"/>
        <v>#VALUE!</v>
      </c>
      <c r="Q24" s="168" t="e">
        <f t="shared" si="13"/>
        <v>#VALUE!</v>
      </c>
      <c r="R24" s="168" t="e">
        <f t="shared" si="14"/>
        <v>#VALUE!</v>
      </c>
      <c r="S24" s="168" t="e">
        <f t="shared" si="15"/>
        <v>#VALUE!</v>
      </c>
      <c r="T24" s="172" t="e">
        <f t="shared" si="16"/>
        <v>#VALUE!</v>
      </c>
      <c r="U24" s="173" t="e">
        <f t="shared" si="17"/>
        <v>#VALUE!</v>
      </c>
      <c r="V24" s="174"/>
      <c r="W24" s="17"/>
      <c r="X24" s="16"/>
      <c r="Y24" s="16"/>
      <c r="Z24" s="16"/>
      <c r="AA24" s="10"/>
      <c r="AB24" s="8"/>
      <c r="AC24" s="8"/>
      <c r="AD24" s="8"/>
      <c r="AE24" s="8"/>
      <c r="AF24" s="8"/>
    </row>
    <row r="25" spans="2:32">
      <c r="B25" s="111"/>
      <c r="C25" s="166">
        <f t="shared" si="3"/>
        <v>5</v>
      </c>
      <c r="D25" s="167">
        <f t="shared" si="0"/>
        <v>28</v>
      </c>
      <c r="E25" s="167">
        <v>112</v>
      </c>
      <c r="F25" s="168" t="e">
        <f t="shared" si="4"/>
        <v>#VALUE!</v>
      </c>
      <c r="G25" s="169" t="e">
        <f t="shared" si="5"/>
        <v>#VALUE!</v>
      </c>
      <c r="H25" s="169" t="e">
        <f t="shared" si="6"/>
        <v>#VALUE!</v>
      </c>
      <c r="I25" s="170" t="e">
        <f t="shared" si="7"/>
        <v>#VALUE!</v>
      </c>
      <c r="J25" s="170" t="e">
        <f t="shared" si="8"/>
        <v>#VALUE!</v>
      </c>
      <c r="K25" s="171" t="e">
        <f t="shared" si="9"/>
        <v>#VALUE!</v>
      </c>
      <c r="L25" s="171" t="e">
        <f t="shared" si="10"/>
        <v>#VALUE!</v>
      </c>
      <c r="M25" s="50" t="e">
        <f t="shared" si="1"/>
        <v>#VALUE!</v>
      </c>
      <c r="N25" s="172" t="e">
        <f t="shared" si="2"/>
        <v>#VALUE!</v>
      </c>
      <c r="O25" s="172" t="e">
        <f t="shared" si="11"/>
        <v>#VALUE!</v>
      </c>
      <c r="P25" s="168" t="e">
        <f t="shared" si="12"/>
        <v>#VALUE!</v>
      </c>
      <c r="Q25" s="168" t="e">
        <f t="shared" si="13"/>
        <v>#VALUE!</v>
      </c>
      <c r="R25" s="168" t="e">
        <f t="shared" si="14"/>
        <v>#VALUE!</v>
      </c>
      <c r="S25" s="168" t="e">
        <f t="shared" si="15"/>
        <v>#VALUE!</v>
      </c>
      <c r="T25" s="172" t="e">
        <f t="shared" si="16"/>
        <v>#VALUE!</v>
      </c>
      <c r="U25" s="173" t="e">
        <f t="shared" si="17"/>
        <v>#VALUE!</v>
      </c>
      <c r="V25" s="174"/>
      <c r="W25" s="17"/>
      <c r="X25" s="16"/>
      <c r="Y25" s="16"/>
      <c r="Z25" s="16"/>
      <c r="AA25" s="10"/>
      <c r="AB25" s="8"/>
      <c r="AC25" s="8"/>
      <c r="AD25" s="8"/>
      <c r="AE25" s="8"/>
      <c r="AF25" s="8"/>
    </row>
    <row r="26" spans="2:32">
      <c r="B26" s="111"/>
      <c r="C26" s="175">
        <f t="shared" si="3"/>
        <v>6</v>
      </c>
      <c r="D26" s="41">
        <f t="shared" si="0"/>
        <v>29</v>
      </c>
      <c r="E26" s="41">
        <v>89</v>
      </c>
      <c r="F26" s="168" t="e">
        <f t="shared" si="4"/>
        <v>#VALUE!</v>
      </c>
      <c r="G26" s="169" t="e">
        <f t="shared" si="5"/>
        <v>#VALUE!</v>
      </c>
      <c r="H26" s="169" t="e">
        <f t="shared" si="6"/>
        <v>#VALUE!</v>
      </c>
      <c r="I26" s="170" t="e">
        <f t="shared" si="7"/>
        <v>#VALUE!</v>
      </c>
      <c r="J26" s="170" t="e">
        <f t="shared" si="8"/>
        <v>#VALUE!</v>
      </c>
      <c r="K26" s="171" t="e">
        <f t="shared" si="9"/>
        <v>#VALUE!</v>
      </c>
      <c r="L26" s="171" t="e">
        <f t="shared" si="10"/>
        <v>#VALUE!</v>
      </c>
      <c r="M26" s="176" t="e">
        <f t="shared" si="1"/>
        <v>#VALUE!</v>
      </c>
      <c r="N26" s="46" t="e">
        <f t="shared" si="2"/>
        <v>#VALUE!</v>
      </c>
      <c r="O26" s="172" t="e">
        <f t="shared" si="11"/>
        <v>#VALUE!</v>
      </c>
      <c r="P26" s="168" t="e">
        <f t="shared" si="12"/>
        <v>#VALUE!</v>
      </c>
      <c r="Q26" s="168" t="e">
        <f t="shared" si="13"/>
        <v>#VALUE!</v>
      </c>
      <c r="R26" s="168" t="e">
        <f t="shared" si="14"/>
        <v>#VALUE!</v>
      </c>
      <c r="S26" s="168" t="e">
        <f t="shared" si="15"/>
        <v>#VALUE!</v>
      </c>
      <c r="T26" s="172" t="e">
        <f t="shared" si="16"/>
        <v>#VALUE!</v>
      </c>
      <c r="U26" s="173" t="e">
        <f t="shared" si="17"/>
        <v>#VALUE!</v>
      </c>
      <c r="V26" s="174"/>
      <c r="W26" s="17"/>
      <c r="X26" s="16"/>
      <c r="Y26" s="16"/>
      <c r="Z26" s="16"/>
      <c r="AA26" s="10"/>
      <c r="AB26" s="8"/>
      <c r="AC26" s="8"/>
      <c r="AD26" s="8"/>
      <c r="AE26" s="8"/>
      <c r="AF26" s="8"/>
    </row>
    <row r="27" spans="2:32">
      <c r="B27" s="111"/>
      <c r="C27" s="166">
        <f t="shared" si="3"/>
        <v>7</v>
      </c>
      <c r="D27" s="167">
        <f t="shared" si="0"/>
        <v>30</v>
      </c>
      <c r="E27" s="167">
        <v>69</v>
      </c>
      <c r="F27" s="168" t="e">
        <f t="shared" si="4"/>
        <v>#VALUE!</v>
      </c>
      <c r="G27" s="169" t="e">
        <f t="shared" si="5"/>
        <v>#VALUE!</v>
      </c>
      <c r="H27" s="169" t="e">
        <f t="shared" si="6"/>
        <v>#VALUE!</v>
      </c>
      <c r="I27" s="170" t="e">
        <f t="shared" si="7"/>
        <v>#VALUE!</v>
      </c>
      <c r="J27" s="170" t="e">
        <f t="shared" si="8"/>
        <v>#VALUE!</v>
      </c>
      <c r="K27" s="171" t="e">
        <f t="shared" si="9"/>
        <v>#VALUE!</v>
      </c>
      <c r="L27" s="171" t="e">
        <f t="shared" si="10"/>
        <v>#VALUE!</v>
      </c>
      <c r="M27" s="50" t="e">
        <f t="shared" si="1"/>
        <v>#VALUE!</v>
      </c>
      <c r="N27" s="172" t="e">
        <f t="shared" si="2"/>
        <v>#VALUE!</v>
      </c>
      <c r="O27" s="172" t="e">
        <f t="shared" si="11"/>
        <v>#VALUE!</v>
      </c>
      <c r="P27" s="168" t="e">
        <f t="shared" si="12"/>
        <v>#VALUE!</v>
      </c>
      <c r="Q27" s="168" t="e">
        <f t="shared" si="13"/>
        <v>#VALUE!</v>
      </c>
      <c r="R27" s="168" t="e">
        <f t="shared" si="14"/>
        <v>#VALUE!</v>
      </c>
      <c r="S27" s="168" t="e">
        <f t="shared" si="15"/>
        <v>#VALUE!</v>
      </c>
      <c r="T27" s="172" t="e">
        <f t="shared" si="16"/>
        <v>#VALUE!</v>
      </c>
      <c r="U27" s="173" t="e">
        <f t="shared" si="17"/>
        <v>#VALUE!</v>
      </c>
      <c r="V27" s="174"/>
      <c r="W27" s="17"/>
      <c r="X27" s="16"/>
      <c r="Y27" s="16"/>
      <c r="Z27" s="16"/>
      <c r="AA27" s="10"/>
      <c r="AB27" s="8"/>
      <c r="AC27" s="8"/>
      <c r="AD27" s="8"/>
      <c r="AE27" s="8"/>
      <c r="AF27" s="8"/>
    </row>
    <row r="28" spans="2:32">
      <c r="B28" s="111"/>
      <c r="C28" s="166">
        <f t="shared" si="3"/>
        <v>8</v>
      </c>
      <c r="D28" s="167">
        <f t="shared" si="0"/>
        <v>31</v>
      </c>
      <c r="E28" s="167">
        <v>47</v>
      </c>
      <c r="F28" s="168" t="e">
        <f t="shared" si="4"/>
        <v>#VALUE!</v>
      </c>
      <c r="G28" s="169" t="e">
        <f t="shared" si="5"/>
        <v>#VALUE!</v>
      </c>
      <c r="H28" s="169" t="e">
        <f t="shared" si="6"/>
        <v>#VALUE!</v>
      </c>
      <c r="I28" s="170" t="e">
        <f t="shared" si="7"/>
        <v>#VALUE!</v>
      </c>
      <c r="J28" s="170" t="e">
        <f t="shared" si="8"/>
        <v>#VALUE!</v>
      </c>
      <c r="K28" s="171" t="e">
        <f t="shared" si="9"/>
        <v>#VALUE!</v>
      </c>
      <c r="L28" s="171" t="e">
        <f t="shared" si="10"/>
        <v>#VALUE!</v>
      </c>
      <c r="M28" s="50" t="e">
        <f t="shared" si="1"/>
        <v>#VALUE!</v>
      </c>
      <c r="N28" s="172" t="e">
        <f t="shared" si="2"/>
        <v>#VALUE!</v>
      </c>
      <c r="O28" s="172" t="e">
        <f t="shared" si="11"/>
        <v>#VALUE!</v>
      </c>
      <c r="P28" s="168" t="e">
        <f t="shared" si="12"/>
        <v>#VALUE!</v>
      </c>
      <c r="Q28" s="168" t="e">
        <f t="shared" si="13"/>
        <v>#VALUE!</v>
      </c>
      <c r="R28" s="168" t="e">
        <f t="shared" si="14"/>
        <v>#VALUE!</v>
      </c>
      <c r="S28" s="168" t="e">
        <f t="shared" si="15"/>
        <v>#VALUE!</v>
      </c>
      <c r="T28" s="172" t="e">
        <f t="shared" si="16"/>
        <v>#VALUE!</v>
      </c>
      <c r="U28" s="173" t="e">
        <f t="shared" si="17"/>
        <v>#VALUE!</v>
      </c>
      <c r="V28" s="174"/>
      <c r="W28" s="17"/>
      <c r="X28" s="16"/>
      <c r="Y28" s="16"/>
      <c r="Z28" s="16"/>
      <c r="AA28" s="10"/>
      <c r="AB28" s="8"/>
      <c r="AC28" s="8"/>
      <c r="AD28" s="8"/>
      <c r="AE28" s="8"/>
      <c r="AF28" s="8"/>
    </row>
    <row r="29" spans="2:32">
      <c r="B29" s="111"/>
      <c r="C29" s="175">
        <f t="shared" si="3"/>
        <v>9</v>
      </c>
      <c r="D29" s="41">
        <f t="shared" si="0"/>
        <v>32</v>
      </c>
      <c r="E29" s="41">
        <v>29</v>
      </c>
      <c r="F29" s="168" t="e">
        <f t="shared" si="4"/>
        <v>#VALUE!</v>
      </c>
      <c r="G29" s="169" t="e">
        <f t="shared" si="5"/>
        <v>#VALUE!</v>
      </c>
      <c r="H29" s="169" t="e">
        <f t="shared" si="6"/>
        <v>#VALUE!</v>
      </c>
      <c r="I29" s="170" t="e">
        <f t="shared" si="7"/>
        <v>#VALUE!</v>
      </c>
      <c r="J29" s="170" t="e">
        <f t="shared" si="8"/>
        <v>#VALUE!</v>
      </c>
      <c r="K29" s="171" t="e">
        <f t="shared" si="9"/>
        <v>#VALUE!</v>
      </c>
      <c r="L29" s="171" t="e">
        <f t="shared" si="10"/>
        <v>#VALUE!</v>
      </c>
      <c r="M29" s="176" t="e">
        <f t="shared" si="1"/>
        <v>#VALUE!</v>
      </c>
      <c r="N29" s="46" t="e">
        <f t="shared" si="2"/>
        <v>#VALUE!</v>
      </c>
      <c r="O29" s="172" t="e">
        <f t="shared" si="11"/>
        <v>#VALUE!</v>
      </c>
      <c r="P29" s="168" t="e">
        <f t="shared" si="12"/>
        <v>#VALUE!</v>
      </c>
      <c r="Q29" s="168" t="e">
        <f t="shared" si="13"/>
        <v>#VALUE!</v>
      </c>
      <c r="R29" s="168" t="e">
        <f t="shared" si="14"/>
        <v>#VALUE!</v>
      </c>
      <c r="S29" s="168" t="e">
        <f t="shared" si="15"/>
        <v>#VALUE!</v>
      </c>
      <c r="T29" s="172" t="e">
        <f t="shared" si="16"/>
        <v>#VALUE!</v>
      </c>
      <c r="U29" s="173" t="e">
        <f t="shared" si="17"/>
        <v>#VALUE!</v>
      </c>
      <c r="V29" s="174"/>
      <c r="W29" s="17"/>
      <c r="X29" s="16"/>
      <c r="Y29" s="16"/>
      <c r="Z29" s="16"/>
      <c r="AA29" s="10"/>
      <c r="AB29" s="8"/>
      <c r="AC29" s="8"/>
      <c r="AD29" s="8"/>
      <c r="AE29" s="8"/>
      <c r="AF29" s="8"/>
    </row>
    <row r="30" spans="2:32">
      <c r="B30" s="111"/>
      <c r="C30" s="166">
        <f t="shared" si="3"/>
        <v>10</v>
      </c>
      <c r="D30" s="167">
        <f t="shared" si="0"/>
        <v>33</v>
      </c>
      <c r="E30" s="167">
        <v>14</v>
      </c>
      <c r="F30" s="168" t="e">
        <f t="shared" si="4"/>
        <v>#VALUE!</v>
      </c>
      <c r="G30" s="169" t="e">
        <f t="shared" si="5"/>
        <v>#VALUE!</v>
      </c>
      <c r="H30" s="169" t="e">
        <f t="shared" si="6"/>
        <v>#VALUE!</v>
      </c>
      <c r="I30" s="170" t="e">
        <f t="shared" si="7"/>
        <v>#VALUE!</v>
      </c>
      <c r="J30" s="170" t="e">
        <f t="shared" si="8"/>
        <v>#VALUE!</v>
      </c>
      <c r="K30" s="171" t="e">
        <f t="shared" si="9"/>
        <v>#VALUE!</v>
      </c>
      <c r="L30" s="171" t="e">
        <f t="shared" si="10"/>
        <v>#VALUE!</v>
      </c>
      <c r="M30" s="50" t="e">
        <f t="shared" si="1"/>
        <v>#VALUE!</v>
      </c>
      <c r="N30" s="172" t="e">
        <f t="shared" si="2"/>
        <v>#VALUE!</v>
      </c>
      <c r="O30" s="172" t="e">
        <f t="shared" si="11"/>
        <v>#VALUE!</v>
      </c>
      <c r="P30" s="168" t="e">
        <f t="shared" si="12"/>
        <v>#VALUE!</v>
      </c>
      <c r="Q30" s="168" t="e">
        <f t="shared" si="13"/>
        <v>#VALUE!</v>
      </c>
      <c r="R30" s="168" t="e">
        <f t="shared" si="14"/>
        <v>#VALUE!</v>
      </c>
      <c r="S30" s="168" t="e">
        <f t="shared" si="15"/>
        <v>#VALUE!</v>
      </c>
      <c r="T30" s="172" t="e">
        <f t="shared" si="16"/>
        <v>#VALUE!</v>
      </c>
      <c r="U30" s="173" t="e">
        <f t="shared" si="17"/>
        <v>#VALUE!</v>
      </c>
      <c r="V30" s="174"/>
      <c r="W30" s="17"/>
      <c r="X30" s="16"/>
      <c r="Y30" s="16"/>
      <c r="Z30" s="16"/>
      <c r="AA30" s="10"/>
      <c r="AB30" s="8"/>
      <c r="AC30" s="8"/>
      <c r="AD30" s="8"/>
      <c r="AE30" s="8"/>
      <c r="AF30" s="8"/>
    </row>
    <row r="31" spans="2:32">
      <c r="B31" s="111"/>
      <c r="C31" s="166">
        <f t="shared" si="3"/>
        <v>11</v>
      </c>
      <c r="D31" s="167">
        <f t="shared" si="0"/>
        <v>34</v>
      </c>
      <c r="E31" s="167">
        <v>6</v>
      </c>
      <c r="F31" s="168" t="e">
        <f t="shared" si="4"/>
        <v>#VALUE!</v>
      </c>
      <c r="G31" s="169" t="e">
        <f t="shared" si="5"/>
        <v>#VALUE!</v>
      </c>
      <c r="H31" s="169" t="e">
        <f t="shared" si="6"/>
        <v>#VALUE!</v>
      </c>
      <c r="I31" s="170" t="e">
        <f t="shared" si="7"/>
        <v>#VALUE!</v>
      </c>
      <c r="J31" s="170" t="e">
        <f t="shared" si="8"/>
        <v>#VALUE!</v>
      </c>
      <c r="K31" s="171" t="e">
        <f t="shared" si="9"/>
        <v>#VALUE!</v>
      </c>
      <c r="L31" s="171" t="e">
        <f t="shared" si="10"/>
        <v>#VALUE!</v>
      </c>
      <c r="M31" s="50" t="e">
        <f t="shared" si="1"/>
        <v>#VALUE!</v>
      </c>
      <c r="N31" s="172" t="e">
        <f t="shared" si="2"/>
        <v>#VALUE!</v>
      </c>
      <c r="O31" s="172" t="e">
        <f t="shared" si="11"/>
        <v>#VALUE!</v>
      </c>
      <c r="P31" s="168" t="e">
        <f t="shared" si="12"/>
        <v>#VALUE!</v>
      </c>
      <c r="Q31" s="168" t="e">
        <f t="shared" si="13"/>
        <v>#VALUE!</v>
      </c>
      <c r="R31" s="168" t="e">
        <f t="shared" si="14"/>
        <v>#VALUE!</v>
      </c>
      <c r="S31" s="168" t="e">
        <f t="shared" si="15"/>
        <v>#VALUE!</v>
      </c>
      <c r="T31" s="172" t="e">
        <f t="shared" si="16"/>
        <v>#VALUE!</v>
      </c>
      <c r="U31" s="173" t="e">
        <f t="shared" si="17"/>
        <v>#VALUE!</v>
      </c>
      <c r="V31" s="174"/>
      <c r="W31" s="16"/>
      <c r="X31" s="16"/>
      <c r="Y31" s="16"/>
      <c r="Z31" s="16"/>
      <c r="AA31" s="10"/>
      <c r="AB31" s="8"/>
      <c r="AC31" s="8"/>
      <c r="AD31" s="8"/>
      <c r="AE31" s="8"/>
      <c r="AF31" s="8"/>
    </row>
    <row r="32" spans="2:32">
      <c r="B32" s="111"/>
      <c r="C32" s="166">
        <f t="shared" si="3"/>
        <v>12</v>
      </c>
      <c r="D32" s="167">
        <f t="shared" si="0"/>
        <v>35</v>
      </c>
      <c r="E32" s="167">
        <v>4</v>
      </c>
      <c r="F32" s="168" t="e">
        <f t="shared" si="4"/>
        <v>#VALUE!</v>
      </c>
      <c r="G32" s="169" t="e">
        <f t="shared" si="5"/>
        <v>#VALUE!</v>
      </c>
      <c r="H32" s="169" t="e">
        <f t="shared" si="6"/>
        <v>#VALUE!</v>
      </c>
      <c r="I32" s="170" t="e">
        <f t="shared" si="7"/>
        <v>#VALUE!</v>
      </c>
      <c r="J32" s="170" t="e">
        <f t="shared" si="8"/>
        <v>#VALUE!</v>
      </c>
      <c r="K32" s="171" t="e">
        <f t="shared" si="9"/>
        <v>#VALUE!</v>
      </c>
      <c r="L32" s="171" t="e">
        <f t="shared" si="10"/>
        <v>#VALUE!</v>
      </c>
      <c r="M32" s="50" t="e">
        <f t="shared" si="1"/>
        <v>#VALUE!</v>
      </c>
      <c r="N32" s="172" t="e">
        <f t="shared" si="2"/>
        <v>#VALUE!</v>
      </c>
      <c r="O32" s="172" t="e">
        <f t="shared" si="11"/>
        <v>#VALUE!</v>
      </c>
      <c r="P32" s="168" t="e">
        <f t="shared" si="12"/>
        <v>#VALUE!</v>
      </c>
      <c r="Q32" s="168" t="e">
        <f t="shared" si="13"/>
        <v>#VALUE!</v>
      </c>
      <c r="R32" s="168" t="e">
        <f t="shared" si="14"/>
        <v>#VALUE!</v>
      </c>
      <c r="S32" s="168" t="e">
        <f t="shared" si="15"/>
        <v>#VALUE!</v>
      </c>
      <c r="T32" s="172" t="e">
        <f t="shared" si="16"/>
        <v>#VALUE!</v>
      </c>
      <c r="U32" s="173" t="e">
        <f t="shared" si="17"/>
        <v>#VALUE!</v>
      </c>
      <c r="V32" s="174"/>
      <c r="W32" s="16"/>
      <c r="X32" s="16"/>
      <c r="Y32" s="16"/>
      <c r="Z32" s="16"/>
      <c r="AA32" s="10"/>
      <c r="AB32" s="8"/>
      <c r="AC32" s="8"/>
      <c r="AD32" s="8"/>
      <c r="AE32" s="8"/>
      <c r="AF32" s="8"/>
    </row>
    <row r="33" spans="2:32">
      <c r="B33" s="111"/>
      <c r="C33" s="166">
        <f t="shared" si="3"/>
        <v>13</v>
      </c>
      <c r="D33" s="167">
        <f t="shared" si="0"/>
        <v>36</v>
      </c>
      <c r="E33" s="167">
        <v>2</v>
      </c>
      <c r="F33" s="168" t="e">
        <f t="shared" si="4"/>
        <v>#VALUE!</v>
      </c>
      <c r="G33" s="169" t="e">
        <f t="shared" si="5"/>
        <v>#VALUE!</v>
      </c>
      <c r="H33" s="169" t="e">
        <f t="shared" si="6"/>
        <v>#VALUE!</v>
      </c>
      <c r="I33" s="170" t="e">
        <f t="shared" si="7"/>
        <v>#VALUE!</v>
      </c>
      <c r="J33" s="170" t="e">
        <f t="shared" si="8"/>
        <v>#VALUE!</v>
      </c>
      <c r="K33" s="171" t="e">
        <f t="shared" si="9"/>
        <v>#VALUE!</v>
      </c>
      <c r="L33" s="171" t="e">
        <f t="shared" si="10"/>
        <v>#VALUE!</v>
      </c>
      <c r="M33" s="50" t="e">
        <f t="shared" si="1"/>
        <v>#VALUE!</v>
      </c>
      <c r="N33" s="172" t="e">
        <f t="shared" si="2"/>
        <v>#VALUE!</v>
      </c>
      <c r="O33" s="172" t="e">
        <f t="shared" si="11"/>
        <v>#VALUE!</v>
      </c>
      <c r="P33" s="168" t="e">
        <f t="shared" si="12"/>
        <v>#VALUE!</v>
      </c>
      <c r="Q33" s="168" t="e">
        <f t="shared" si="13"/>
        <v>#VALUE!</v>
      </c>
      <c r="R33" s="168" t="e">
        <f t="shared" si="14"/>
        <v>#VALUE!</v>
      </c>
      <c r="S33" s="168" t="e">
        <f t="shared" si="15"/>
        <v>#VALUE!</v>
      </c>
      <c r="T33" s="172" t="e">
        <f t="shared" si="16"/>
        <v>#VALUE!</v>
      </c>
      <c r="U33" s="173" t="e">
        <f t="shared" si="17"/>
        <v>#VALUE!</v>
      </c>
      <c r="V33" s="174"/>
      <c r="W33" s="16"/>
      <c r="X33" s="16"/>
      <c r="Y33" s="16"/>
      <c r="Z33" s="16"/>
      <c r="AA33" s="10"/>
      <c r="AB33" s="8"/>
      <c r="AC33" s="8"/>
      <c r="AD33" s="8"/>
      <c r="AE33" s="8"/>
      <c r="AF33" s="8"/>
    </row>
    <row r="34" spans="2:32">
      <c r="B34" s="111"/>
      <c r="C34" s="166">
        <f t="shared" si="3"/>
        <v>14</v>
      </c>
      <c r="D34" s="167">
        <f t="shared" si="0"/>
        <v>37</v>
      </c>
      <c r="E34" s="167">
        <v>1</v>
      </c>
      <c r="F34" s="168" t="e">
        <f t="shared" si="4"/>
        <v>#VALUE!</v>
      </c>
      <c r="G34" s="169" t="e">
        <f t="shared" si="5"/>
        <v>#VALUE!</v>
      </c>
      <c r="H34" s="169" t="e">
        <f t="shared" si="6"/>
        <v>#VALUE!</v>
      </c>
      <c r="I34" s="170" t="e">
        <f t="shared" si="7"/>
        <v>#VALUE!</v>
      </c>
      <c r="J34" s="170" t="e">
        <f t="shared" si="8"/>
        <v>#VALUE!</v>
      </c>
      <c r="K34" s="171" t="e">
        <f t="shared" si="9"/>
        <v>#VALUE!</v>
      </c>
      <c r="L34" s="171" t="e">
        <f t="shared" si="10"/>
        <v>#VALUE!</v>
      </c>
      <c r="M34" s="50" t="e">
        <f t="shared" si="1"/>
        <v>#VALUE!</v>
      </c>
      <c r="N34" s="172" t="e">
        <f t="shared" si="2"/>
        <v>#VALUE!</v>
      </c>
      <c r="O34" s="172" t="e">
        <f t="shared" si="11"/>
        <v>#VALUE!</v>
      </c>
      <c r="P34" s="168" t="e">
        <f t="shared" si="12"/>
        <v>#VALUE!</v>
      </c>
      <c r="Q34" s="168" t="e">
        <f t="shared" si="13"/>
        <v>#VALUE!</v>
      </c>
      <c r="R34" s="168" t="e">
        <f t="shared" si="14"/>
        <v>#VALUE!</v>
      </c>
      <c r="S34" s="168" t="e">
        <f t="shared" si="15"/>
        <v>#VALUE!</v>
      </c>
      <c r="T34" s="172" t="e">
        <f t="shared" si="16"/>
        <v>#VALUE!</v>
      </c>
      <c r="U34" s="173" t="e">
        <f t="shared" si="17"/>
        <v>#VALUE!</v>
      </c>
      <c r="V34" s="174"/>
      <c r="W34" s="16"/>
      <c r="X34" s="16"/>
      <c r="Y34" s="16"/>
      <c r="Z34" s="16"/>
      <c r="AA34" s="10"/>
      <c r="AB34" s="8"/>
      <c r="AC34" s="8"/>
      <c r="AD34" s="8"/>
      <c r="AE34" s="8"/>
      <c r="AF34" s="8"/>
    </row>
    <row r="35" spans="2:32">
      <c r="B35" s="111"/>
      <c r="C35" s="166">
        <f t="shared" si="3"/>
        <v>15</v>
      </c>
      <c r="D35" s="167">
        <f t="shared" si="0"/>
        <v>38</v>
      </c>
      <c r="E35" s="167">
        <v>0</v>
      </c>
      <c r="F35" s="168" t="e">
        <f t="shared" si="4"/>
        <v>#VALUE!</v>
      </c>
      <c r="G35" s="169" t="e">
        <f t="shared" si="5"/>
        <v>#VALUE!</v>
      </c>
      <c r="H35" s="169" t="e">
        <f t="shared" si="6"/>
        <v>#VALUE!</v>
      </c>
      <c r="I35" s="170" t="e">
        <f t="shared" si="7"/>
        <v>#VALUE!</v>
      </c>
      <c r="J35" s="170" t="e">
        <f t="shared" si="8"/>
        <v>#VALUE!</v>
      </c>
      <c r="K35" s="171" t="e">
        <f t="shared" si="9"/>
        <v>#VALUE!</v>
      </c>
      <c r="L35" s="171" t="e">
        <f t="shared" si="10"/>
        <v>#VALUE!</v>
      </c>
      <c r="M35" s="50" t="e">
        <f t="shared" si="1"/>
        <v>#VALUE!</v>
      </c>
      <c r="N35" s="172" t="e">
        <f t="shared" si="2"/>
        <v>#VALUE!</v>
      </c>
      <c r="O35" s="172" t="e">
        <f t="shared" si="11"/>
        <v>#VALUE!</v>
      </c>
      <c r="P35" s="168" t="e">
        <f t="shared" si="12"/>
        <v>#VALUE!</v>
      </c>
      <c r="Q35" s="168" t="e">
        <f t="shared" si="13"/>
        <v>#VALUE!</v>
      </c>
      <c r="R35" s="168" t="e">
        <f t="shared" si="14"/>
        <v>#VALUE!</v>
      </c>
      <c r="S35" s="168" t="e">
        <f t="shared" si="15"/>
        <v>#VALUE!</v>
      </c>
      <c r="T35" s="172" t="e">
        <f t="shared" si="16"/>
        <v>#VALUE!</v>
      </c>
      <c r="U35" s="173" t="e">
        <f t="shared" si="17"/>
        <v>#VALUE!</v>
      </c>
      <c r="V35" s="177"/>
      <c r="W35" s="16"/>
      <c r="X35" s="16"/>
      <c r="Y35" s="16"/>
      <c r="Z35" s="16"/>
      <c r="AA35" s="10"/>
      <c r="AB35" s="8"/>
      <c r="AC35" s="8"/>
      <c r="AD35" s="8"/>
      <c r="AE35" s="8"/>
      <c r="AF35" s="8"/>
    </row>
    <row r="36" spans="2:32" ht="14.25" thickBot="1">
      <c r="B36" s="111"/>
      <c r="C36" s="178" t="s">
        <v>11</v>
      </c>
      <c r="D36" s="179"/>
      <c r="E36" s="180">
        <f>SUM(E21:E35)</f>
        <v>941</v>
      </c>
      <c r="F36" s="181"/>
      <c r="G36" s="182"/>
      <c r="H36" s="182"/>
      <c r="I36" s="182"/>
      <c r="J36" s="182"/>
      <c r="K36" s="182"/>
      <c r="L36" s="182"/>
      <c r="M36" s="183"/>
      <c r="N36" s="182"/>
      <c r="O36" s="182"/>
      <c r="P36" s="180"/>
      <c r="Q36" s="184"/>
      <c r="R36" s="185" t="e">
        <f>SUM(R21:R35)</f>
        <v>#VALUE!</v>
      </c>
      <c r="S36" s="185" t="e">
        <f>SUM(S21:S35)</f>
        <v>#VALUE!</v>
      </c>
      <c r="T36" s="186"/>
      <c r="U36" s="187" t="e">
        <f t="shared" si="17"/>
        <v>#VALUE!</v>
      </c>
      <c r="V36" s="177"/>
      <c r="W36" s="16"/>
      <c r="X36" s="16"/>
      <c r="Y36" s="16"/>
      <c r="Z36" s="16"/>
      <c r="AA36" s="10"/>
      <c r="AB36" s="8"/>
      <c r="AC36" s="8"/>
      <c r="AD36" s="8"/>
      <c r="AE36" s="8"/>
      <c r="AF36" s="8"/>
    </row>
    <row r="37" spans="2:32">
      <c r="B37" s="111"/>
      <c r="C37" s="14"/>
      <c r="D37" s="14"/>
      <c r="E37" s="188"/>
      <c r="F37" s="16"/>
      <c r="G37" s="7"/>
      <c r="H37" s="7"/>
      <c r="I37" s="6"/>
      <c r="J37" s="6"/>
      <c r="K37" s="9"/>
      <c r="L37" s="7"/>
      <c r="M37" s="7"/>
      <c r="N37" s="189"/>
      <c r="O37" s="189"/>
      <c r="P37" s="190"/>
      <c r="Q37" s="122"/>
      <c r="R37" s="122"/>
      <c r="S37" s="122"/>
      <c r="T37" s="122"/>
      <c r="U37" s="122"/>
      <c r="V37" s="177"/>
      <c r="W37" s="16"/>
      <c r="X37" s="16"/>
      <c r="Y37" s="16"/>
      <c r="Z37" s="16"/>
      <c r="AA37" s="10"/>
      <c r="AB37" s="8"/>
      <c r="AC37" s="8"/>
      <c r="AD37" s="8"/>
      <c r="AE37" s="8"/>
      <c r="AF37" s="8"/>
    </row>
    <row r="38" spans="2:32">
      <c r="B38" s="111"/>
      <c r="C38" s="14"/>
      <c r="D38" s="14"/>
      <c r="E38" s="188"/>
      <c r="F38" s="16"/>
      <c r="G38" s="7"/>
      <c r="H38" s="7"/>
      <c r="I38" s="6"/>
      <c r="J38" s="6"/>
      <c r="K38" s="9"/>
      <c r="L38" s="7"/>
      <c r="M38" s="7"/>
      <c r="N38" s="189"/>
      <c r="O38" s="189"/>
      <c r="P38" s="190"/>
      <c r="Q38" s="122"/>
      <c r="R38" s="122"/>
      <c r="S38" s="122"/>
      <c r="T38" s="122"/>
      <c r="U38" s="122"/>
      <c r="V38" s="177"/>
      <c r="W38" s="16"/>
      <c r="X38" s="16"/>
      <c r="Y38" s="16"/>
      <c r="Z38" s="16"/>
      <c r="AA38" s="10"/>
      <c r="AB38" s="8"/>
      <c r="AC38" s="8"/>
      <c r="AD38" s="8"/>
      <c r="AE38" s="8"/>
      <c r="AF38" s="8"/>
    </row>
    <row r="39" spans="2:32" ht="14.25" thickBot="1">
      <c r="B39" s="191"/>
      <c r="C39" s="192"/>
      <c r="D39" s="193"/>
      <c r="E39" s="192"/>
      <c r="F39" s="192"/>
      <c r="G39" s="194"/>
      <c r="H39" s="192"/>
      <c r="I39" s="192"/>
      <c r="J39" s="192"/>
      <c r="K39" s="192"/>
      <c r="L39" s="192"/>
      <c r="M39" s="195"/>
      <c r="N39" s="196"/>
      <c r="O39" s="197"/>
      <c r="P39" s="197"/>
      <c r="Q39" s="197"/>
      <c r="R39" s="194"/>
      <c r="S39" s="194"/>
      <c r="T39" s="194"/>
      <c r="U39" s="194"/>
      <c r="V39" s="198"/>
      <c r="W39" s="16"/>
      <c r="X39" s="16"/>
      <c r="Y39" s="16"/>
      <c r="Z39" s="16"/>
      <c r="AA39" s="10"/>
      <c r="AB39" s="8"/>
      <c r="AC39" s="8"/>
      <c r="AD39" s="8"/>
      <c r="AE39" s="8"/>
      <c r="AF39" s="8"/>
    </row>
    <row r="40" spans="2:32">
      <c r="B40" s="8"/>
      <c r="C40" s="7"/>
      <c r="D40" s="11"/>
      <c r="E40" s="7"/>
      <c r="F40" s="7"/>
      <c r="G40" s="16"/>
      <c r="H40" s="6"/>
      <c r="I40" s="7"/>
      <c r="J40" s="7"/>
      <c r="K40" s="7"/>
      <c r="L40" s="7"/>
      <c r="M40" s="6"/>
      <c r="N40" s="9"/>
      <c r="O40" s="10"/>
      <c r="P40" s="10"/>
      <c r="Q40" s="10"/>
      <c r="R40" s="16"/>
      <c r="S40" s="16"/>
      <c r="T40" s="16"/>
      <c r="U40" s="16"/>
      <c r="V40" s="199"/>
      <c r="W40" s="16"/>
      <c r="X40" s="16"/>
      <c r="Y40" s="16"/>
      <c r="Z40" s="16"/>
      <c r="AA40" s="10"/>
      <c r="AB40" s="8"/>
      <c r="AC40" s="8"/>
      <c r="AD40" s="8"/>
      <c r="AE40" s="8"/>
      <c r="AF40" s="8"/>
    </row>
    <row r="41" spans="2:32" ht="14.25" thickBot="1"/>
    <row r="42" spans="2:32" s="53" customFormat="1" ht="22.5" customHeight="1" thickBot="1">
      <c r="B42" s="542" t="s">
        <v>158</v>
      </c>
      <c r="C42" s="543"/>
      <c r="D42" s="543"/>
      <c r="E42" s="543"/>
      <c r="F42" s="543"/>
      <c r="G42" s="543"/>
      <c r="H42" s="543"/>
      <c r="I42" s="543"/>
      <c r="J42" s="543"/>
      <c r="K42" s="543"/>
      <c r="L42" s="543"/>
      <c r="M42" s="543"/>
      <c r="N42" s="543"/>
      <c r="O42" s="543"/>
      <c r="P42" s="543"/>
      <c r="Q42" s="543"/>
      <c r="R42" s="543"/>
      <c r="S42" s="543"/>
      <c r="T42" s="543"/>
      <c r="U42" s="543"/>
      <c r="V42" s="544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2:32" s="53" customFormat="1" ht="14.25" thickBot="1">
      <c r="B43" s="54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38"/>
      <c r="N43" s="55"/>
      <c r="O43" s="55"/>
      <c r="P43" s="55"/>
      <c r="Q43" s="55"/>
      <c r="R43" s="55"/>
      <c r="S43" s="37"/>
      <c r="T43" s="37"/>
      <c r="U43" s="37"/>
      <c r="V43" s="45"/>
      <c r="W43" s="35"/>
      <c r="X43" s="56"/>
      <c r="Y43" s="56"/>
      <c r="Z43" s="56"/>
      <c r="AA43" s="56"/>
      <c r="AB43" s="56"/>
      <c r="AC43" s="56"/>
      <c r="AD43" s="56"/>
      <c r="AE43" s="56"/>
      <c r="AF43" s="56"/>
    </row>
    <row r="44" spans="2:32" ht="20.25" customHeight="1">
      <c r="B44" s="111"/>
      <c r="C44" s="545" t="s">
        <v>83</v>
      </c>
      <c r="D44" s="548" t="s">
        <v>113</v>
      </c>
      <c r="E44" s="551" t="s">
        <v>165</v>
      </c>
      <c r="F44" s="551" t="s">
        <v>196</v>
      </c>
      <c r="G44" s="551" t="s">
        <v>87</v>
      </c>
      <c r="H44" s="551" t="s">
        <v>88</v>
      </c>
      <c r="I44" s="551" t="s">
        <v>247</v>
      </c>
      <c r="J44" s="551" t="s">
        <v>195</v>
      </c>
      <c r="K44" s="554" t="s">
        <v>194</v>
      </c>
      <c r="L44" s="7"/>
      <c r="N44" s="200" t="s">
        <v>177</v>
      </c>
      <c r="O44" s="200" t="s">
        <v>170</v>
      </c>
      <c r="P44" s="200" t="s">
        <v>171</v>
      </c>
      <c r="Q44" s="200" t="s">
        <v>172</v>
      </c>
      <c r="R44" s="200" t="s">
        <v>173</v>
      </c>
      <c r="S44" s="200" t="s">
        <v>174</v>
      </c>
      <c r="T44" s="200" t="s">
        <v>175</v>
      </c>
      <c r="U44" s="200" t="s">
        <v>176</v>
      </c>
      <c r="V44" s="113"/>
      <c r="W44" s="8"/>
      <c r="X44" s="8"/>
      <c r="Y44" s="8"/>
      <c r="Z44" s="8"/>
      <c r="AA44" s="8"/>
      <c r="AB44" s="8"/>
      <c r="AC44" s="8"/>
      <c r="AD44" s="8"/>
      <c r="AE44" s="8"/>
      <c r="AF44" s="8"/>
    </row>
    <row r="45" spans="2:32" ht="20.25" customHeight="1">
      <c r="B45" s="111"/>
      <c r="C45" s="546"/>
      <c r="D45" s="549"/>
      <c r="E45" s="552"/>
      <c r="F45" s="552"/>
      <c r="G45" s="552"/>
      <c r="H45" s="552"/>
      <c r="I45" s="552"/>
      <c r="J45" s="552"/>
      <c r="K45" s="555"/>
      <c r="L45" s="7"/>
      <c r="N45" s="200" t="s">
        <v>178</v>
      </c>
      <c r="O45" s="201" t="e">
        <f>(224*U51-112*M53-112*M56)/(14*U51+16*M53-16*M56)</f>
        <v>#VALUE!</v>
      </c>
      <c r="P45" s="201" t="e">
        <f>(144*U51-112*M54*P54/P55-32*M56)/(9*U51+16*M54*P54/P55-16*M56)</f>
        <v>#VALUE!</v>
      </c>
      <c r="Q45" s="201" t="e">
        <f>(224*U51-112*G53-112*G56)/(14*U51+16*G53-16*G56)</f>
        <v>#VALUE!</v>
      </c>
      <c r="R45" s="201" t="e">
        <f>(144*U51-112*G54*P54/P55-32*G56)/(9*U51+16*G54*P54/P55-16*G56)</f>
        <v>#VALUE!</v>
      </c>
      <c r="S45" s="201" t="e">
        <f>(224*U51-112*J53-112*J56)/(14*U51+16*J53-16*J56)</f>
        <v>#VALUE!</v>
      </c>
      <c r="T45" s="201" t="e">
        <f>(144*U51-112*J54*P54/P55-32*J56)/(9*U51+16*J54*P54/P55-16*J56)</f>
        <v>#VALUE!</v>
      </c>
      <c r="U45" s="201" t="e">
        <f>(144*U51-112*P54-32*P56)/(9*U51+16*P54-16*P56)</f>
        <v>#VALUE!</v>
      </c>
      <c r="V45" s="113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2:32" ht="20.25" customHeight="1">
      <c r="B46" s="111"/>
      <c r="C46" s="546"/>
      <c r="D46" s="550"/>
      <c r="E46" s="553"/>
      <c r="F46" s="553"/>
      <c r="G46" s="553"/>
      <c r="H46" s="553"/>
      <c r="I46" s="553"/>
      <c r="J46" s="553"/>
      <c r="K46" s="556"/>
      <c r="L46" s="7"/>
      <c r="N46" s="200" t="s">
        <v>179</v>
      </c>
      <c r="O46" s="142" t="e">
        <f>M56+(M53-M56)*(O45-(-7))/(7-(-7))</f>
        <v>#VALUE!</v>
      </c>
      <c r="P46" s="142" t="e">
        <f>M56+(M54*P54/P55-M56)*(P45-(-7))/(2-(-7))</f>
        <v>#VALUE!</v>
      </c>
      <c r="Q46" s="142" t="e">
        <f>G56+(G53-G56)*(Q45-(-7))/(7-(-7))</f>
        <v>#VALUE!</v>
      </c>
      <c r="R46" s="142" t="e">
        <f>G56+(G54*P54/P55-G56)*(R45-(-7))/(2-(-7))</f>
        <v>#VALUE!</v>
      </c>
      <c r="S46" s="142" t="e">
        <f>J56+(J53-J56)*(S45-(-7))/(7-(-7))</f>
        <v>#VALUE!</v>
      </c>
      <c r="T46" s="142" t="e">
        <f>J56+(J54*P55/P54-J56)*(T45-(-7))/(2-(-7))</f>
        <v>#VALUE!</v>
      </c>
      <c r="U46" s="142" t="e">
        <f>P56+(P54-P56)*(U45-(-7))/(2-(-7))</f>
        <v>#VALUE!</v>
      </c>
      <c r="V46" s="113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:32" ht="20.25" customHeight="1" thickBot="1">
      <c r="B47" s="111"/>
      <c r="C47" s="547"/>
      <c r="D47" s="117" t="e">
        <f>R91/(S91+T91)</f>
        <v>#VALUE!</v>
      </c>
      <c r="E47" s="118" t="e">
        <f>(S91+T91)/1000</f>
        <v>#VALUE!</v>
      </c>
      <c r="F47" s="118" t="e">
        <f>E47/4</f>
        <v>#VALUE!</v>
      </c>
      <c r="G47" s="119" t="e">
        <f>E47*1000/2849</f>
        <v>#VALUE!</v>
      </c>
      <c r="H47" s="120" t="e">
        <f>G47*0.425</f>
        <v>#VALUE!</v>
      </c>
      <c r="I47" s="118" t="e">
        <f>R91/1000</f>
        <v>#VALUE!</v>
      </c>
      <c r="J47" s="202" t="e">
        <f>ROUND((S91+T91)/1000,1)</f>
        <v>#VALUE!</v>
      </c>
      <c r="K47" s="121" t="e">
        <f>ROUND(F47*113,-3)</f>
        <v>#VALUE!</v>
      </c>
      <c r="L47" s="7"/>
      <c r="N47" s="200" t="s">
        <v>180</v>
      </c>
      <c r="O47" s="142" t="e">
        <f>N56+(N53-N56)*(O45-(-7))/(7-(-7))</f>
        <v>#VALUE!</v>
      </c>
      <c r="P47" s="142" t="e">
        <f>N56+(N54*Q54/Q55-N56)*(P45-(-7))/(2-(-7))</f>
        <v>#VALUE!</v>
      </c>
      <c r="Q47" s="142" t="e">
        <f>H56+(H53-H56)*(Q45-(-7))/(7-(-7))</f>
        <v>#VALUE!</v>
      </c>
      <c r="R47" s="142" t="e">
        <f>H56+(H54*Q54/Q55-H56)*(R45-(-7))/(2-(-7))</f>
        <v>#VALUE!</v>
      </c>
      <c r="S47" s="142" t="e">
        <f>K56+(K53-K56)*(S45-(-7))/(7-(-7))</f>
        <v>#VALUE!</v>
      </c>
      <c r="T47" s="142" t="e">
        <f>K56+(K54*Q54/Q55-K56)*(T45-(-7))/(2-(-7))</f>
        <v>#VALUE!</v>
      </c>
      <c r="U47" s="142" t="e">
        <f>Q56+(Q54-Q56)*(U45-(-7))/(2-(-7))</f>
        <v>#VALUE!</v>
      </c>
      <c r="V47" s="113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2:32">
      <c r="B48" s="111"/>
      <c r="C48" s="7"/>
      <c r="D48" s="7"/>
      <c r="E48" s="7"/>
      <c r="F48" s="7"/>
      <c r="G48" s="7"/>
      <c r="H48" s="7"/>
      <c r="I48" s="7"/>
      <c r="J48" s="7"/>
      <c r="K48" s="7"/>
      <c r="L48" s="7"/>
      <c r="M48" s="112"/>
      <c r="N48" s="7"/>
      <c r="O48" s="7"/>
      <c r="P48" s="7"/>
      <c r="Q48" s="7"/>
      <c r="R48" s="7"/>
      <c r="S48" s="7"/>
      <c r="T48" s="7"/>
      <c r="U48" s="7"/>
      <c r="V48" s="113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2:32">
      <c r="B49" s="111"/>
      <c r="C49" s="122"/>
      <c r="D49" s="122"/>
      <c r="E49" s="122"/>
      <c r="F49" s="122"/>
      <c r="G49" s="122"/>
      <c r="H49" s="122"/>
      <c r="I49" s="122"/>
      <c r="J49" s="122"/>
      <c r="K49" s="6"/>
      <c r="L49" s="6"/>
      <c r="M49" s="6"/>
      <c r="N49" s="7"/>
      <c r="O49" s="7"/>
      <c r="P49" s="7"/>
      <c r="Q49" s="7"/>
      <c r="R49" s="7"/>
      <c r="S49" s="7"/>
      <c r="T49" s="7"/>
      <c r="U49" s="7"/>
      <c r="V49" s="113"/>
      <c r="W49" s="7"/>
      <c r="X49" s="6"/>
      <c r="Y49" s="9"/>
      <c r="Z49" s="7"/>
      <c r="AA49" s="7"/>
      <c r="AB49" s="7"/>
      <c r="AC49" s="7"/>
      <c r="AD49" s="7"/>
      <c r="AE49" s="8"/>
      <c r="AF49" s="8"/>
    </row>
    <row r="50" spans="2:32">
      <c r="B50" s="111"/>
      <c r="C50" s="123"/>
      <c r="D50" s="124"/>
      <c r="E50" s="519" t="s">
        <v>36</v>
      </c>
      <c r="F50" s="520"/>
      <c r="G50" s="519" t="s">
        <v>39</v>
      </c>
      <c r="H50" s="523"/>
      <c r="I50" s="520"/>
      <c r="J50" s="519" t="s">
        <v>38</v>
      </c>
      <c r="K50" s="523"/>
      <c r="L50" s="520"/>
      <c r="M50" s="519" t="s">
        <v>40</v>
      </c>
      <c r="N50" s="523"/>
      <c r="O50" s="520"/>
      <c r="P50" s="519" t="s">
        <v>159</v>
      </c>
      <c r="Q50" s="523"/>
      <c r="R50" s="520"/>
      <c r="S50" s="517" t="s">
        <v>163</v>
      </c>
      <c r="T50" s="517"/>
      <c r="U50" s="203" t="str">
        <f>H4</f>
        <v>"직접입력"</v>
      </c>
      <c r="V50" s="113"/>
      <c r="W50" s="7"/>
      <c r="X50" s="7"/>
      <c r="Y50" s="7"/>
      <c r="Z50" s="7"/>
      <c r="AA50" s="7"/>
      <c r="AB50" s="7"/>
      <c r="AC50" s="10"/>
      <c r="AD50" s="7"/>
      <c r="AE50" s="8"/>
      <c r="AF50" s="8"/>
    </row>
    <row r="51" spans="2:32">
      <c r="B51" s="111"/>
      <c r="C51" s="125"/>
      <c r="D51" s="126"/>
      <c r="E51" s="127" t="s">
        <v>43</v>
      </c>
      <c r="F51" s="127" t="s">
        <v>44</v>
      </c>
      <c r="G51" s="128" t="s">
        <v>16</v>
      </c>
      <c r="H51" s="128" t="s">
        <v>18</v>
      </c>
      <c r="I51" s="128" t="s">
        <v>112</v>
      </c>
      <c r="J51" s="128" t="s">
        <v>16</v>
      </c>
      <c r="K51" s="128" t="s">
        <v>18</v>
      </c>
      <c r="L51" s="128" t="s">
        <v>112</v>
      </c>
      <c r="M51" s="128" t="s">
        <v>16</v>
      </c>
      <c r="N51" s="128" t="s">
        <v>18</v>
      </c>
      <c r="O51" s="128" t="s">
        <v>112</v>
      </c>
      <c r="P51" s="128" t="s">
        <v>16</v>
      </c>
      <c r="Q51" s="128" t="s">
        <v>18</v>
      </c>
      <c r="R51" s="128" t="s">
        <v>112</v>
      </c>
      <c r="S51" s="517" t="s">
        <v>164</v>
      </c>
      <c r="T51" s="517"/>
      <c r="U51" s="62" t="e">
        <f>$U$50*0.82</f>
        <v>#VALUE!</v>
      </c>
      <c r="V51" s="113"/>
      <c r="W51" s="7"/>
      <c r="X51" s="7"/>
      <c r="Y51" s="7"/>
      <c r="Z51" s="7"/>
      <c r="AA51" s="7"/>
      <c r="AB51" s="7"/>
      <c r="AC51" s="10"/>
      <c r="AD51" s="7"/>
      <c r="AE51" s="8"/>
      <c r="AF51" s="8"/>
    </row>
    <row r="52" spans="2:32">
      <c r="B52" s="111"/>
      <c r="C52" s="129"/>
      <c r="D52" s="130"/>
      <c r="E52" s="131" t="s">
        <v>45</v>
      </c>
      <c r="F52" s="132" t="s">
        <v>45</v>
      </c>
      <c r="G52" s="133" t="s">
        <v>6</v>
      </c>
      <c r="H52" s="133" t="s">
        <v>6</v>
      </c>
      <c r="I52" s="133"/>
      <c r="J52" s="133" t="s">
        <v>6</v>
      </c>
      <c r="K52" s="133" t="s">
        <v>6</v>
      </c>
      <c r="L52" s="133"/>
      <c r="M52" s="133" t="s">
        <v>6</v>
      </c>
      <c r="N52" s="133" t="s">
        <v>6</v>
      </c>
      <c r="O52" s="133"/>
      <c r="P52" s="133" t="s">
        <v>6</v>
      </c>
      <c r="Q52" s="133" t="s">
        <v>6</v>
      </c>
      <c r="R52" s="133"/>
      <c r="S52" s="517" t="s">
        <v>160</v>
      </c>
      <c r="T52" s="517"/>
      <c r="U52" s="204" t="str">
        <f>Input!C23</f>
        <v>"직접입력"</v>
      </c>
      <c r="V52" s="136"/>
      <c r="W52" s="12"/>
      <c r="X52" s="6"/>
      <c r="Y52" s="9"/>
      <c r="Z52" s="7"/>
      <c r="AA52" s="7"/>
      <c r="AB52" s="7"/>
      <c r="AC52" s="10"/>
      <c r="AD52" s="7"/>
      <c r="AE52" s="8"/>
      <c r="AF52" s="8"/>
    </row>
    <row r="53" spans="2:32">
      <c r="B53" s="111"/>
      <c r="C53" s="519" t="s">
        <v>41</v>
      </c>
      <c r="D53" s="520"/>
      <c r="E53" s="205" t="s">
        <v>181</v>
      </c>
      <c r="F53" s="137" t="s">
        <v>182</v>
      </c>
      <c r="G53" s="20" t="str">
        <f>Input!E52</f>
        <v>"결과입력"</v>
      </c>
      <c r="H53" s="20" t="str">
        <f>Input!E53</f>
        <v>"결과입력"</v>
      </c>
      <c r="I53" s="206" t="e">
        <f>G53/H53</f>
        <v>#VALUE!</v>
      </c>
      <c r="J53" s="20" t="str">
        <f>Input!E50</f>
        <v>"결과입력"</v>
      </c>
      <c r="K53" s="20" t="str">
        <f>Input!E51</f>
        <v>"결과입력"</v>
      </c>
      <c r="L53" s="206" t="e">
        <f>J53/K53</f>
        <v>#VALUE!</v>
      </c>
      <c r="M53" s="20" t="str">
        <f>Input!E48</f>
        <v>"결과입력"</v>
      </c>
      <c r="N53" s="21" t="str">
        <f>Input!E49</f>
        <v>"결과입력"</v>
      </c>
      <c r="O53" s="207" t="e">
        <f>M53/N53</f>
        <v>#VALUE!</v>
      </c>
      <c r="P53" s="208" t="s">
        <v>168</v>
      </c>
      <c r="Q53" s="208" t="s">
        <v>168</v>
      </c>
      <c r="R53" s="209" t="s">
        <v>169</v>
      </c>
      <c r="S53" s="517" t="s">
        <v>161</v>
      </c>
      <c r="T53" s="517"/>
      <c r="U53" s="210" t="e">
        <f>IF((U52*1000/U50)&lt;1,U52*1000/U50,1)</f>
        <v>#VALUE!</v>
      </c>
      <c r="V53" s="136"/>
      <c r="W53" s="9"/>
      <c r="X53" s="6"/>
      <c r="Y53" s="9"/>
      <c r="Z53" s="7"/>
      <c r="AA53" s="7"/>
      <c r="AB53" s="7"/>
      <c r="AC53" s="7"/>
      <c r="AD53" s="7"/>
      <c r="AE53" s="8"/>
      <c r="AF53" s="8"/>
    </row>
    <row r="54" spans="2:32">
      <c r="B54" s="111"/>
      <c r="C54" s="524" t="s">
        <v>188</v>
      </c>
      <c r="D54" s="127" t="s">
        <v>186</v>
      </c>
      <c r="E54" s="205" t="s">
        <v>184</v>
      </c>
      <c r="F54" s="205" t="s">
        <v>183</v>
      </c>
      <c r="G54" s="68" t="e">
        <f>G56+(G53-G56)*(2-(-7))/(7-(-7))</f>
        <v>#VALUE!</v>
      </c>
      <c r="H54" s="68" t="e">
        <f>H56+(H53-H56)*(2-(-7))/(7-(-7))</f>
        <v>#VALUE!</v>
      </c>
      <c r="I54" s="206" t="e">
        <f>G54/H54</f>
        <v>#VALUE!</v>
      </c>
      <c r="J54" s="68" t="e">
        <f>J56+(J53-J56)*(2-(-7))/(7-(-7))</f>
        <v>#VALUE!</v>
      </c>
      <c r="K54" s="68" t="e">
        <f>K56+(K53-K56)*(2-(-7))/(7-(-7))</f>
        <v>#VALUE!</v>
      </c>
      <c r="L54" s="206" t="e">
        <f>J54/K54</f>
        <v>#VALUE!</v>
      </c>
      <c r="M54" s="68" t="e">
        <f>M56+(M53-M56)*(2-(-7))/(7-(-7))</f>
        <v>#VALUE!</v>
      </c>
      <c r="N54" s="68" t="e">
        <f>N56+(N53-N56)*(2-(-7))/(7-(-7))</f>
        <v>#VALUE!</v>
      </c>
      <c r="O54" s="207" t="e">
        <f>M54/N54</f>
        <v>#VALUE!</v>
      </c>
      <c r="P54" s="20" t="str">
        <f>Input!E54</f>
        <v>"결과입력"</v>
      </c>
      <c r="Q54" s="20" t="str">
        <f>Input!E55</f>
        <v>"결과입력"</v>
      </c>
      <c r="R54" s="141" t="e">
        <f>P54/Q54</f>
        <v>#VALUE!</v>
      </c>
      <c r="S54" s="517" t="s">
        <v>162</v>
      </c>
      <c r="T54" s="517"/>
      <c r="U54" s="211">
        <v>0.25</v>
      </c>
      <c r="V54" s="136"/>
      <c r="W54" s="12"/>
      <c r="X54" s="6"/>
      <c r="Y54" s="12"/>
      <c r="Z54" s="7"/>
      <c r="AA54" s="7"/>
      <c r="AB54" s="7"/>
      <c r="AC54" s="7"/>
      <c r="AD54" s="7"/>
      <c r="AE54" s="8"/>
      <c r="AF54" s="8"/>
    </row>
    <row r="55" spans="2:32">
      <c r="B55" s="111"/>
      <c r="C55" s="557"/>
      <c r="D55" s="127" t="s">
        <v>187</v>
      </c>
      <c r="E55" s="205" t="s">
        <v>184</v>
      </c>
      <c r="F55" s="205" t="s">
        <v>183</v>
      </c>
      <c r="G55" s="208" t="s">
        <v>189</v>
      </c>
      <c r="H55" s="208" t="s">
        <v>168</v>
      </c>
      <c r="I55" s="212" t="s">
        <v>169</v>
      </c>
      <c r="J55" s="208" t="s">
        <v>189</v>
      </c>
      <c r="K55" s="208" t="s">
        <v>189</v>
      </c>
      <c r="L55" s="212" t="s">
        <v>168</v>
      </c>
      <c r="M55" s="208" t="s">
        <v>189</v>
      </c>
      <c r="N55" s="208" t="s">
        <v>168</v>
      </c>
      <c r="O55" s="212" t="s">
        <v>169</v>
      </c>
      <c r="P55" s="213" t="e">
        <f>P54*1.12</f>
        <v>#VALUE!</v>
      </c>
      <c r="Q55" s="213" t="e">
        <f>Q54*1.06</f>
        <v>#VALUE!</v>
      </c>
      <c r="R55" s="141" t="e">
        <f>P55/Q55</f>
        <v>#VALUE!</v>
      </c>
      <c r="S55" s="214"/>
      <c r="T55" s="214"/>
      <c r="U55" s="215"/>
      <c r="V55" s="136"/>
      <c r="W55" s="12"/>
      <c r="X55" s="6"/>
      <c r="Y55" s="12"/>
      <c r="Z55" s="7"/>
      <c r="AA55" s="7"/>
      <c r="AB55" s="7"/>
      <c r="AC55" s="7"/>
      <c r="AD55" s="7"/>
      <c r="AE55" s="8"/>
      <c r="AF55" s="8"/>
    </row>
    <row r="56" spans="2:32" s="53" customFormat="1">
      <c r="B56" s="54"/>
      <c r="C56" s="519" t="s">
        <v>42</v>
      </c>
      <c r="D56" s="520"/>
      <c r="E56" s="205" t="s">
        <v>181</v>
      </c>
      <c r="F56" s="205" t="s">
        <v>185</v>
      </c>
      <c r="G56" s="213" t="e">
        <f>0.601*G53</f>
        <v>#VALUE!</v>
      </c>
      <c r="H56" s="216" t="e">
        <f>0.801*H53</f>
        <v>#VALUE!</v>
      </c>
      <c r="I56" s="206" t="e">
        <f>G56/H56</f>
        <v>#VALUE!</v>
      </c>
      <c r="J56" s="44" t="e">
        <f>0.601*J53</f>
        <v>#VALUE!</v>
      </c>
      <c r="K56" s="44" t="e">
        <f>0.801*K53</f>
        <v>#VALUE!</v>
      </c>
      <c r="L56" s="206" t="e">
        <f>J56/K56</f>
        <v>#VALUE!</v>
      </c>
      <c r="M56" s="42" t="e">
        <f>0.601*M53</f>
        <v>#VALUE!</v>
      </c>
      <c r="N56" s="42" t="e">
        <f>0.801*N53</f>
        <v>#VALUE!</v>
      </c>
      <c r="O56" s="207" t="e">
        <f>M56/N56</f>
        <v>#VALUE!</v>
      </c>
      <c r="P56" s="20" t="str">
        <f>Input!E56</f>
        <v>"결과입력"</v>
      </c>
      <c r="Q56" s="20" t="str">
        <f>Input!E57</f>
        <v>"결과입력"</v>
      </c>
      <c r="R56" s="141" t="e">
        <f>P56/Q56</f>
        <v>#VALUE!</v>
      </c>
      <c r="S56" s="51"/>
      <c r="T56" s="37"/>
      <c r="U56" s="37"/>
      <c r="V56" s="217"/>
      <c r="W56" s="64"/>
      <c r="X56" s="56"/>
      <c r="Y56" s="56"/>
      <c r="Z56" s="56"/>
      <c r="AA56" s="56"/>
      <c r="AB56" s="56"/>
      <c r="AC56" s="56"/>
      <c r="AD56" s="56"/>
      <c r="AE56" s="56"/>
      <c r="AF56" s="56"/>
    </row>
    <row r="57" spans="2:32" s="53" customFormat="1" ht="14.25" thickBot="1">
      <c r="B57" s="54"/>
      <c r="C57" s="58"/>
      <c r="D57" s="38"/>
      <c r="E57" s="218"/>
      <c r="F57" s="218"/>
      <c r="G57" s="38"/>
      <c r="H57" s="38"/>
      <c r="I57" s="38"/>
      <c r="J57" s="219"/>
      <c r="K57" s="55"/>
      <c r="L57" s="220"/>
      <c r="M57" s="37"/>
      <c r="N57" s="37"/>
      <c r="O57" s="55"/>
      <c r="P57" s="37"/>
      <c r="Q57" s="219"/>
      <c r="R57" s="37"/>
      <c r="S57" s="51"/>
      <c r="T57" s="37"/>
      <c r="U57" s="37"/>
      <c r="V57" s="217"/>
      <c r="W57" s="64"/>
      <c r="X57" s="56"/>
      <c r="Y57" s="56"/>
      <c r="Z57" s="56"/>
      <c r="AA57" s="56"/>
      <c r="AB57" s="56"/>
      <c r="AC57" s="56"/>
      <c r="AD57" s="56"/>
      <c r="AE57" s="56"/>
      <c r="AF57" s="56"/>
    </row>
    <row r="58" spans="2:32" s="53" customFormat="1">
      <c r="B58" s="54"/>
      <c r="C58" s="100" t="s">
        <v>63</v>
      </c>
      <c r="D58" s="150" t="s">
        <v>64</v>
      </c>
      <c r="E58" s="221" t="s">
        <v>65</v>
      </c>
      <c r="F58" s="221" t="s">
        <v>66</v>
      </c>
      <c r="G58" s="146" t="s">
        <v>59</v>
      </c>
      <c r="H58" s="146" t="s">
        <v>39</v>
      </c>
      <c r="I58" s="147" t="s">
        <v>38</v>
      </c>
      <c r="J58" s="147" t="s">
        <v>38</v>
      </c>
      <c r="K58" s="148" t="s">
        <v>61</v>
      </c>
      <c r="L58" s="148" t="s">
        <v>61</v>
      </c>
      <c r="M58" s="221" t="s">
        <v>197</v>
      </c>
      <c r="N58" s="150" t="s">
        <v>62</v>
      </c>
      <c r="O58" s="150" t="s">
        <v>70</v>
      </c>
      <c r="P58" s="150" t="s">
        <v>106</v>
      </c>
      <c r="Q58" s="221" t="s">
        <v>252</v>
      </c>
      <c r="R58" s="221" t="s">
        <v>191</v>
      </c>
      <c r="S58" s="221" t="s">
        <v>253</v>
      </c>
      <c r="T58" s="221" t="s">
        <v>192</v>
      </c>
      <c r="U58" s="222" t="s">
        <v>249</v>
      </c>
      <c r="V58" s="59"/>
      <c r="W58" s="35"/>
      <c r="X58" s="37"/>
      <c r="Y58" s="37"/>
      <c r="Z58" s="55"/>
      <c r="AA58" s="55"/>
      <c r="AB58" s="37"/>
      <c r="AC58" s="39"/>
      <c r="AD58" s="35"/>
      <c r="AE58" s="35"/>
      <c r="AF58" s="37"/>
    </row>
    <row r="59" spans="2:32" s="53" customFormat="1" ht="14.25" thickBot="1">
      <c r="B59" s="54"/>
      <c r="C59" s="223" t="s">
        <v>71</v>
      </c>
      <c r="D59" s="158" t="s">
        <v>10</v>
      </c>
      <c r="E59" s="154" t="s">
        <v>108</v>
      </c>
      <c r="F59" s="224" t="s">
        <v>6</v>
      </c>
      <c r="G59" s="155" t="s">
        <v>190</v>
      </c>
      <c r="H59" s="155" t="s">
        <v>18</v>
      </c>
      <c r="I59" s="156" t="s">
        <v>250</v>
      </c>
      <c r="J59" s="156" t="s">
        <v>17</v>
      </c>
      <c r="K59" s="157" t="s">
        <v>251</v>
      </c>
      <c r="L59" s="157" t="s">
        <v>17</v>
      </c>
      <c r="M59" s="154" t="s">
        <v>198</v>
      </c>
      <c r="N59" s="158" t="s">
        <v>69</v>
      </c>
      <c r="O59" s="158" t="s">
        <v>72</v>
      </c>
      <c r="P59" s="40" t="s">
        <v>107</v>
      </c>
      <c r="Q59" s="225"/>
      <c r="R59" s="225"/>
      <c r="S59" s="154" t="s">
        <v>254</v>
      </c>
      <c r="T59" s="154" t="s">
        <v>193</v>
      </c>
      <c r="U59" s="226"/>
      <c r="V59" s="59"/>
      <c r="W59" s="35"/>
      <c r="X59" s="37"/>
      <c r="Y59" s="37"/>
      <c r="Z59" s="55"/>
      <c r="AA59" s="55"/>
      <c r="AB59" s="37"/>
      <c r="AC59" s="43"/>
      <c r="AD59" s="35"/>
      <c r="AE59" s="35"/>
      <c r="AF59" s="37"/>
    </row>
    <row r="60" spans="2:32" s="53" customFormat="1">
      <c r="B60" s="54"/>
      <c r="C60" s="227">
        <v>1</v>
      </c>
      <c r="D60" s="98">
        <v>-15</v>
      </c>
      <c r="E60" s="228">
        <v>2</v>
      </c>
      <c r="F60" s="229" t="e">
        <f>(16-D60)/16*U$51</f>
        <v>#VALUE!</v>
      </c>
      <c r="G60" s="230" t="e">
        <f>G$56+(G$53-G$56)*(D60-(-7))/(7-(-7))</f>
        <v>#VALUE!</v>
      </c>
      <c r="H60" s="230" t="e">
        <f>H$56+(H$53-H$56)*(D60-(-7))/(7-(-7))</f>
        <v>#VALUE!</v>
      </c>
      <c r="I60" s="230" t="e">
        <f>J$56+(J$53-J$56)*(D60-(-7))/(7-(-7))</f>
        <v>#VALUE!</v>
      </c>
      <c r="J60" s="230" t="e">
        <f>K$56+(K$53-K$56)*(D60-(-7))/(7-(-7))</f>
        <v>#VALUE!</v>
      </c>
      <c r="K60" s="230" t="e">
        <f>M$56+(M$53-M$56)*(D60-(-7))/(7-(-7))</f>
        <v>#VALUE!</v>
      </c>
      <c r="L60" s="230" t="e">
        <f>N$56+(N$53-N$56)*(D60-(-7))/(7-(-7))</f>
        <v>#VALUE!</v>
      </c>
      <c r="M60" s="230" t="e">
        <f t="shared" ref="M60:M90" si="18">P$56+(P$54-P$56)*(D60-(-7))/(2-(-7))</f>
        <v>#VALUE!</v>
      </c>
      <c r="N60" s="231" t="e">
        <f t="shared" ref="N60:N68" si="19">IF(F60&lt;G60,1,2)</f>
        <v>#VALUE!</v>
      </c>
      <c r="O60" s="232" t="e">
        <f t="shared" ref="O60:O90" si="20">IF(N60=1,F60/G60,1)</f>
        <v>#VALUE!</v>
      </c>
      <c r="P60" s="232" t="e">
        <f>1-U$54*(1-O60)</f>
        <v>#VALUE!</v>
      </c>
      <c r="Q60" s="233" t="e">
        <f t="shared" ref="Q60:Q68" si="21">Q$56+(Q$54-Q$56)*(D60-(-7))/(2-(-7))</f>
        <v>#VALUE!</v>
      </c>
      <c r="R60" s="233" t="e">
        <f t="shared" ref="R60:R90" si="22">F60*E60</f>
        <v>#VALUE!</v>
      </c>
      <c r="S60" s="233" t="e">
        <f t="shared" ref="S60:S90" si="23">Q60*E60*O60/P60</f>
        <v>#VALUE!</v>
      </c>
      <c r="T60" s="233" t="e">
        <f t="shared" ref="T60:T90" si="24">IF(F60&gt;M60,(F60-M60)*E60+U$52*U$53*E60*1000,0)</f>
        <v>#VALUE!</v>
      </c>
      <c r="U60" s="234" t="e">
        <f t="shared" ref="U60:U91" si="25">R60/(S60+T60)</f>
        <v>#VALUE!</v>
      </c>
      <c r="V60" s="59"/>
      <c r="W60" s="35"/>
      <c r="X60" s="37"/>
      <c r="Y60" s="90"/>
      <c r="Z60" s="55"/>
      <c r="AA60" s="55"/>
      <c r="AB60" s="37"/>
      <c r="AC60" s="39"/>
      <c r="AD60" s="35"/>
      <c r="AE60" s="35"/>
      <c r="AF60" s="37"/>
    </row>
    <row r="61" spans="2:32" s="53" customFormat="1">
      <c r="B61" s="54"/>
      <c r="C61" s="235">
        <f t="shared" ref="C61:D76" si="26">C60+1</f>
        <v>2</v>
      </c>
      <c r="D61" s="97">
        <f t="shared" si="26"/>
        <v>-14</v>
      </c>
      <c r="E61" s="69">
        <v>3</v>
      </c>
      <c r="F61" s="63" t="e">
        <f t="shared" ref="F61:F90" si="27">(16-D61)/16*U$51</f>
        <v>#VALUE!</v>
      </c>
      <c r="G61" s="57" t="e">
        <f t="shared" ref="G61:G90" si="28">G$56+(G$53-G$56)*(D61-(-7))/(7-(-7))</f>
        <v>#VALUE!</v>
      </c>
      <c r="H61" s="57" t="e">
        <f t="shared" ref="H61:H68" si="29">H$56+(H$53-H$56)*(D61-(-7))/(7-(-7))</f>
        <v>#VALUE!</v>
      </c>
      <c r="I61" s="57" t="e">
        <f t="shared" ref="I61:I68" si="30">J$56+(J$53-J$56)*(D61-(-7))/(7-(-7))</f>
        <v>#VALUE!</v>
      </c>
      <c r="J61" s="57" t="e">
        <f t="shared" ref="J61:J68" si="31">K$56+(K$53-K$56)*(D61-(-7))/(7-(-7))</f>
        <v>#VALUE!</v>
      </c>
      <c r="K61" s="57" t="e">
        <f t="shared" ref="K61:K68" si="32">M$56+(M$53-M$56)*(D61-(-7))/(7-(-7))</f>
        <v>#VALUE!</v>
      </c>
      <c r="L61" s="57" t="e">
        <f t="shared" ref="L61:L68" si="33">N$56+(N$53-N$56)*(D61-(-7))/(7-(-7))</f>
        <v>#VALUE!</v>
      </c>
      <c r="M61" s="57" t="e">
        <f t="shared" si="18"/>
        <v>#VALUE!</v>
      </c>
      <c r="N61" s="71" t="e">
        <f t="shared" si="19"/>
        <v>#VALUE!</v>
      </c>
      <c r="O61" s="70" t="e">
        <f t="shared" si="20"/>
        <v>#VALUE!</v>
      </c>
      <c r="P61" s="70" t="e">
        <f t="shared" ref="P61:P90" si="34">1-U$54*(1-O61)</f>
        <v>#VALUE!</v>
      </c>
      <c r="Q61" s="62" t="e">
        <f t="shared" si="21"/>
        <v>#VALUE!</v>
      </c>
      <c r="R61" s="62" t="e">
        <f t="shared" si="22"/>
        <v>#VALUE!</v>
      </c>
      <c r="S61" s="62" t="e">
        <f t="shared" si="23"/>
        <v>#VALUE!</v>
      </c>
      <c r="T61" s="62" t="e">
        <f t="shared" si="24"/>
        <v>#VALUE!</v>
      </c>
      <c r="U61" s="236" t="e">
        <f t="shared" si="25"/>
        <v>#VALUE!</v>
      </c>
      <c r="V61" s="59"/>
      <c r="W61" s="35"/>
      <c r="X61" s="37"/>
      <c r="Y61" s="90"/>
      <c r="Z61" s="55"/>
      <c r="AA61" s="55"/>
      <c r="AB61" s="37"/>
      <c r="AC61" s="43"/>
      <c r="AD61" s="35"/>
      <c r="AE61" s="35"/>
      <c r="AF61" s="37"/>
    </row>
    <row r="62" spans="2:32" s="53" customFormat="1">
      <c r="B62" s="54"/>
      <c r="C62" s="235">
        <f t="shared" si="26"/>
        <v>3</v>
      </c>
      <c r="D62" s="97">
        <f t="shared" si="26"/>
        <v>-13</v>
      </c>
      <c r="E62" s="69">
        <v>5</v>
      </c>
      <c r="F62" s="63" t="e">
        <f t="shared" si="27"/>
        <v>#VALUE!</v>
      </c>
      <c r="G62" s="57" t="e">
        <f t="shared" si="28"/>
        <v>#VALUE!</v>
      </c>
      <c r="H62" s="57" t="e">
        <f t="shared" si="29"/>
        <v>#VALUE!</v>
      </c>
      <c r="I62" s="57" t="e">
        <f t="shared" si="30"/>
        <v>#VALUE!</v>
      </c>
      <c r="J62" s="57" t="e">
        <f t="shared" si="31"/>
        <v>#VALUE!</v>
      </c>
      <c r="K62" s="57" t="e">
        <f t="shared" si="32"/>
        <v>#VALUE!</v>
      </c>
      <c r="L62" s="57" t="e">
        <f t="shared" si="33"/>
        <v>#VALUE!</v>
      </c>
      <c r="M62" s="57" t="e">
        <f t="shared" si="18"/>
        <v>#VALUE!</v>
      </c>
      <c r="N62" s="71" t="e">
        <f t="shared" si="19"/>
        <v>#VALUE!</v>
      </c>
      <c r="O62" s="70" t="e">
        <f t="shared" si="20"/>
        <v>#VALUE!</v>
      </c>
      <c r="P62" s="70" t="e">
        <f t="shared" si="34"/>
        <v>#VALUE!</v>
      </c>
      <c r="Q62" s="62" t="e">
        <f t="shared" si="21"/>
        <v>#VALUE!</v>
      </c>
      <c r="R62" s="62" t="e">
        <f t="shared" si="22"/>
        <v>#VALUE!</v>
      </c>
      <c r="S62" s="62" t="e">
        <f t="shared" si="23"/>
        <v>#VALUE!</v>
      </c>
      <c r="T62" s="62" t="e">
        <f t="shared" si="24"/>
        <v>#VALUE!</v>
      </c>
      <c r="U62" s="236" t="e">
        <f t="shared" si="25"/>
        <v>#VALUE!</v>
      </c>
      <c r="V62" s="59"/>
      <c r="W62" s="35"/>
      <c r="X62" s="37"/>
      <c r="Y62" s="90"/>
      <c r="Z62" s="55"/>
      <c r="AA62" s="55"/>
      <c r="AB62" s="37"/>
      <c r="AC62" s="39"/>
      <c r="AD62" s="35"/>
      <c r="AE62" s="35"/>
      <c r="AF62" s="37"/>
    </row>
    <row r="63" spans="2:32" s="53" customFormat="1">
      <c r="B63" s="54"/>
      <c r="C63" s="235">
        <f t="shared" si="26"/>
        <v>4</v>
      </c>
      <c r="D63" s="97">
        <f t="shared" si="26"/>
        <v>-12</v>
      </c>
      <c r="E63" s="69">
        <v>6</v>
      </c>
      <c r="F63" s="63" t="e">
        <f t="shared" si="27"/>
        <v>#VALUE!</v>
      </c>
      <c r="G63" s="57" t="e">
        <f t="shared" si="28"/>
        <v>#VALUE!</v>
      </c>
      <c r="H63" s="57" t="e">
        <f t="shared" si="29"/>
        <v>#VALUE!</v>
      </c>
      <c r="I63" s="57" t="e">
        <f t="shared" si="30"/>
        <v>#VALUE!</v>
      </c>
      <c r="J63" s="57" t="e">
        <f t="shared" si="31"/>
        <v>#VALUE!</v>
      </c>
      <c r="K63" s="57" t="e">
        <f t="shared" si="32"/>
        <v>#VALUE!</v>
      </c>
      <c r="L63" s="57" t="e">
        <f t="shared" si="33"/>
        <v>#VALUE!</v>
      </c>
      <c r="M63" s="57" t="e">
        <f t="shared" si="18"/>
        <v>#VALUE!</v>
      </c>
      <c r="N63" s="71" t="e">
        <f t="shared" si="19"/>
        <v>#VALUE!</v>
      </c>
      <c r="O63" s="70" t="e">
        <f t="shared" si="20"/>
        <v>#VALUE!</v>
      </c>
      <c r="P63" s="70" t="e">
        <f t="shared" si="34"/>
        <v>#VALUE!</v>
      </c>
      <c r="Q63" s="62" t="e">
        <f t="shared" si="21"/>
        <v>#VALUE!</v>
      </c>
      <c r="R63" s="62" t="e">
        <f t="shared" si="22"/>
        <v>#VALUE!</v>
      </c>
      <c r="S63" s="62" t="e">
        <f t="shared" si="23"/>
        <v>#VALUE!</v>
      </c>
      <c r="T63" s="62" t="e">
        <f t="shared" si="24"/>
        <v>#VALUE!</v>
      </c>
      <c r="U63" s="236" t="e">
        <f t="shared" si="25"/>
        <v>#VALUE!</v>
      </c>
      <c r="V63" s="59"/>
      <c r="W63" s="35"/>
      <c r="X63" s="37"/>
      <c r="Y63" s="90"/>
      <c r="Z63" s="55"/>
      <c r="AA63" s="55"/>
      <c r="AB63" s="37"/>
      <c r="AC63" s="39"/>
      <c r="AD63" s="35"/>
      <c r="AE63" s="35"/>
      <c r="AF63" s="37"/>
    </row>
    <row r="64" spans="2:32" s="53" customFormat="1">
      <c r="B64" s="54"/>
      <c r="C64" s="235">
        <f t="shared" si="26"/>
        <v>5</v>
      </c>
      <c r="D64" s="97">
        <f t="shared" si="26"/>
        <v>-11</v>
      </c>
      <c r="E64" s="69">
        <v>6</v>
      </c>
      <c r="F64" s="63" t="e">
        <f t="shared" si="27"/>
        <v>#VALUE!</v>
      </c>
      <c r="G64" s="57" t="e">
        <f t="shared" si="28"/>
        <v>#VALUE!</v>
      </c>
      <c r="H64" s="57" t="e">
        <f t="shared" si="29"/>
        <v>#VALUE!</v>
      </c>
      <c r="I64" s="57" t="e">
        <f t="shared" si="30"/>
        <v>#VALUE!</v>
      </c>
      <c r="J64" s="57" t="e">
        <f t="shared" si="31"/>
        <v>#VALUE!</v>
      </c>
      <c r="K64" s="57" t="e">
        <f t="shared" si="32"/>
        <v>#VALUE!</v>
      </c>
      <c r="L64" s="57" t="e">
        <f t="shared" si="33"/>
        <v>#VALUE!</v>
      </c>
      <c r="M64" s="57" t="e">
        <f t="shared" si="18"/>
        <v>#VALUE!</v>
      </c>
      <c r="N64" s="71" t="e">
        <f t="shared" si="19"/>
        <v>#VALUE!</v>
      </c>
      <c r="O64" s="70" t="e">
        <f t="shared" si="20"/>
        <v>#VALUE!</v>
      </c>
      <c r="P64" s="70" t="e">
        <f t="shared" si="34"/>
        <v>#VALUE!</v>
      </c>
      <c r="Q64" s="62" t="e">
        <f t="shared" si="21"/>
        <v>#VALUE!</v>
      </c>
      <c r="R64" s="62" t="e">
        <f t="shared" si="22"/>
        <v>#VALUE!</v>
      </c>
      <c r="S64" s="62" t="e">
        <f t="shared" si="23"/>
        <v>#VALUE!</v>
      </c>
      <c r="T64" s="62" t="e">
        <f t="shared" si="24"/>
        <v>#VALUE!</v>
      </c>
      <c r="U64" s="236" t="e">
        <f t="shared" si="25"/>
        <v>#VALUE!</v>
      </c>
      <c r="V64" s="59"/>
      <c r="W64" s="35"/>
      <c r="X64" s="37"/>
      <c r="Y64" s="90"/>
      <c r="Z64" s="37"/>
      <c r="AA64" s="37"/>
      <c r="AB64" s="37"/>
      <c r="AC64" s="37"/>
      <c r="AD64" s="37"/>
      <c r="AE64" s="56"/>
      <c r="AF64" s="37"/>
    </row>
    <row r="65" spans="2:32" s="53" customFormat="1">
      <c r="B65" s="54"/>
      <c r="C65" s="235">
        <f t="shared" si="26"/>
        <v>6</v>
      </c>
      <c r="D65" s="97">
        <f t="shared" si="26"/>
        <v>-10</v>
      </c>
      <c r="E65" s="69">
        <v>9</v>
      </c>
      <c r="F65" s="63" t="e">
        <f t="shared" si="27"/>
        <v>#VALUE!</v>
      </c>
      <c r="G65" s="57" t="e">
        <f t="shared" si="28"/>
        <v>#VALUE!</v>
      </c>
      <c r="H65" s="57" t="e">
        <f t="shared" si="29"/>
        <v>#VALUE!</v>
      </c>
      <c r="I65" s="57" t="e">
        <f t="shared" si="30"/>
        <v>#VALUE!</v>
      </c>
      <c r="J65" s="57" t="e">
        <f t="shared" si="31"/>
        <v>#VALUE!</v>
      </c>
      <c r="K65" s="57" t="e">
        <f t="shared" si="32"/>
        <v>#VALUE!</v>
      </c>
      <c r="L65" s="57" t="e">
        <f t="shared" si="33"/>
        <v>#VALUE!</v>
      </c>
      <c r="M65" s="57" t="e">
        <f t="shared" si="18"/>
        <v>#VALUE!</v>
      </c>
      <c r="N65" s="71" t="e">
        <f t="shared" si="19"/>
        <v>#VALUE!</v>
      </c>
      <c r="O65" s="70" t="e">
        <f t="shared" si="20"/>
        <v>#VALUE!</v>
      </c>
      <c r="P65" s="70" t="e">
        <f t="shared" si="34"/>
        <v>#VALUE!</v>
      </c>
      <c r="Q65" s="62" t="e">
        <f t="shared" si="21"/>
        <v>#VALUE!</v>
      </c>
      <c r="R65" s="62" t="e">
        <f t="shared" si="22"/>
        <v>#VALUE!</v>
      </c>
      <c r="S65" s="62" t="e">
        <f t="shared" si="23"/>
        <v>#VALUE!</v>
      </c>
      <c r="T65" s="62" t="e">
        <f t="shared" si="24"/>
        <v>#VALUE!</v>
      </c>
      <c r="U65" s="236" t="e">
        <f t="shared" si="25"/>
        <v>#VALUE!</v>
      </c>
      <c r="V65" s="59"/>
      <c r="W65" s="35"/>
      <c r="X65" s="37"/>
      <c r="Y65" s="90"/>
      <c r="Z65" s="37"/>
      <c r="AA65" s="56"/>
      <c r="AB65" s="35"/>
      <c r="AC65" s="35"/>
      <c r="AD65" s="35"/>
      <c r="AE65" s="35"/>
      <c r="AF65" s="37"/>
    </row>
    <row r="66" spans="2:32" s="53" customFormat="1">
      <c r="B66" s="54"/>
      <c r="C66" s="235">
        <f t="shared" si="26"/>
        <v>7</v>
      </c>
      <c r="D66" s="97">
        <f t="shared" si="26"/>
        <v>-9</v>
      </c>
      <c r="E66" s="69">
        <v>14</v>
      </c>
      <c r="F66" s="63" t="e">
        <f t="shared" si="27"/>
        <v>#VALUE!</v>
      </c>
      <c r="G66" s="57" t="e">
        <f t="shared" si="28"/>
        <v>#VALUE!</v>
      </c>
      <c r="H66" s="57" t="e">
        <f t="shared" si="29"/>
        <v>#VALUE!</v>
      </c>
      <c r="I66" s="57" t="e">
        <f t="shared" si="30"/>
        <v>#VALUE!</v>
      </c>
      <c r="J66" s="57" t="e">
        <f t="shared" si="31"/>
        <v>#VALUE!</v>
      </c>
      <c r="K66" s="57" t="e">
        <f t="shared" si="32"/>
        <v>#VALUE!</v>
      </c>
      <c r="L66" s="57" t="e">
        <f t="shared" si="33"/>
        <v>#VALUE!</v>
      </c>
      <c r="M66" s="57" t="e">
        <f t="shared" si="18"/>
        <v>#VALUE!</v>
      </c>
      <c r="N66" s="71" t="e">
        <f t="shared" si="19"/>
        <v>#VALUE!</v>
      </c>
      <c r="O66" s="70" t="e">
        <f t="shared" si="20"/>
        <v>#VALUE!</v>
      </c>
      <c r="P66" s="70" t="e">
        <f t="shared" si="34"/>
        <v>#VALUE!</v>
      </c>
      <c r="Q66" s="62" t="e">
        <f t="shared" si="21"/>
        <v>#VALUE!</v>
      </c>
      <c r="R66" s="62" t="e">
        <f t="shared" si="22"/>
        <v>#VALUE!</v>
      </c>
      <c r="S66" s="62" t="e">
        <f t="shared" si="23"/>
        <v>#VALUE!</v>
      </c>
      <c r="T66" s="62" t="e">
        <f t="shared" si="24"/>
        <v>#VALUE!</v>
      </c>
      <c r="U66" s="236" t="e">
        <f t="shared" si="25"/>
        <v>#VALUE!</v>
      </c>
      <c r="V66" s="59"/>
      <c r="W66" s="35"/>
      <c r="X66" s="35"/>
      <c r="Y66" s="91"/>
      <c r="Z66" s="35"/>
      <c r="AA66" s="35"/>
      <c r="AB66" s="35"/>
      <c r="AC66" s="35"/>
      <c r="AD66" s="35"/>
      <c r="AE66" s="35"/>
      <c r="AF66" s="37"/>
    </row>
    <row r="67" spans="2:32" s="53" customFormat="1">
      <c r="B67" s="54"/>
      <c r="C67" s="235">
        <f t="shared" si="26"/>
        <v>8</v>
      </c>
      <c r="D67" s="97">
        <f t="shared" si="26"/>
        <v>-8</v>
      </c>
      <c r="E67" s="69">
        <v>21</v>
      </c>
      <c r="F67" s="63" t="e">
        <f t="shared" si="27"/>
        <v>#VALUE!</v>
      </c>
      <c r="G67" s="57" t="e">
        <f t="shared" si="28"/>
        <v>#VALUE!</v>
      </c>
      <c r="H67" s="57" t="e">
        <f t="shared" si="29"/>
        <v>#VALUE!</v>
      </c>
      <c r="I67" s="57" t="e">
        <f t="shared" si="30"/>
        <v>#VALUE!</v>
      </c>
      <c r="J67" s="57" t="e">
        <f t="shared" si="31"/>
        <v>#VALUE!</v>
      </c>
      <c r="K67" s="57" t="e">
        <f t="shared" si="32"/>
        <v>#VALUE!</v>
      </c>
      <c r="L67" s="57" t="e">
        <f t="shared" si="33"/>
        <v>#VALUE!</v>
      </c>
      <c r="M67" s="57" t="e">
        <f t="shared" si="18"/>
        <v>#VALUE!</v>
      </c>
      <c r="N67" s="71" t="e">
        <f t="shared" si="19"/>
        <v>#VALUE!</v>
      </c>
      <c r="O67" s="70" t="e">
        <f t="shared" si="20"/>
        <v>#VALUE!</v>
      </c>
      <c r="P67" s="70" t="e">
        <f t="shared" si="34"/>
        <v>#VALUE!</v>
      </c>
      <c r="Q67" s="62" t="e">
        <f t="shared" si="21"/>
        <v>#VALUE!</v>
      </c>
      <c r="R67" s="62" t="e">
        <f t="shared" si="22"/>
        <v>#VALUE!</v>
      </c>
      <c r="S67" s="62" t="e">
        <f t="shared" si="23"/>
        <v>#VALUE!</v>
      </c>
      <c r="T67" s="62" t="e">
        <f t="shared" si="24"/>
        <v>#VALUE!</v>
      </c>
      <c r="U67" s="236" t="e">
        <f t="shared" si="25"/>
        <v>#VALUE!</v>
      </c>
      <c r="V67" s="59"/>
      <c r="W67" s="35"/>
      <c r="X67" s="35"/>
      <c r="Y67" s="91"/>
      <c r="Z67" s="35"/>
      <c r="AA67" s="35"/>
      <c r="AB67" s="35"/>
      <c r="AC67" s="35"/>
      <c r="AD67" s="35"/>
      <c r="AE67" s="35"/>
      <c r="AF67" s="37"/>
    </row>
    <row r="68" spans="2:32" s="53" customFormat="1" ht="14.25" thickBot="1">
      <c r="B68" s="54"/>
      <c r="C68" s="237">
        <f t="shared" si="26"/>
        <v>9</v>
      </c>
      <c r="D68" s="95">
        <f t="shared" si="26"/>
        <v>-7</v>
      </c>
      <c r="E68" s="238">
        <v>30</v>
      </c>
      <c r="F68" s="239" t="e">
        <f t="shared" si="27"/>
        <v>#VALUE!</v>
      </c>
      <c r="G68" s="240" t="e">
        <f t="shared" si="28"/>
        <v>#VALUE!</v>
      </c>
      <c r="H68" s="240" t="e">
        <f t="shared" si="29"/>
        <v>#VALUE!</v>
      </c>
      <c r="I68" s="240" t="e">
        <f t="shared" si="30"/>
        <v>#VALUE!</v>
      </c>
      <c r="J68" s="240" t="e">
        <f t="shared" si="31"/>
        <v>#VALUE!</v>
      </c>
      <c r="K68" s="240" t="e">
        <f t="shared" si="32"/>
        <v>#VALUE!</v>
      </c>
      <c r="L68" s="240" t="e">
        <f t="shared" si="33"/>
        <v>#VALUE!</v>
      </c>
      <c r="M68" s="240" t="e">
        <f t="shared" si="18"/>
        <v>#VALUE!</v>
      </c>
      <c r="N68" s="241" t="e">
        <f t="shared" si="19"/>
        <v>#VALUE!</v>
      </c>
      <c r="O68" s="242" t="e">
        <f t="shared" si="20"/>
        <v>#VALUE!</v>
      </c>
      <c r="P68" s="242" t="e">
        <f t="shared" si="34"/>
        <v>#VALUE!</v>
      </c>
      <c r="Q68" s="60" t="e">
        <f t="shared" si="21"/>
        <v>#VALUE!</v>
      </c>
      <c r="R68" s="60" t="e">
        <f t="shared" si="22"/>
        <v>#VALUE!</v>
      </c>
      <c r="S68" s="60" t="e">
        <f t="shared" si="23"/>
        <v>#VALUE!</v>
      </c>
      <c r="T68" s="60" t="e">
        <f t="shared" si="24"/>
        <v>#VALUE!</v>
      </c>
      <c r="U68" s="243" t="e">
        <f t="shared" si="25"/>
        <v>#VALUE!</v>
      </c>
      <c r="V68" s="59"/>
      <c r="W68" s="35"/>
      <c r="X68" s="35"/>
      <c r="Y68" s="91"/>
      <c r="Z68" s="35"/>
      <c r="AA68" s="35"/>
      <c r="AB68" s="35"/>
      <c r="AC68" s="35"/>
      <c r="AD68" s="35"/>
      <c r="AE68" s="35"/>
      <c r="AF68" s="38"/>
    </row>
    <row r="69" spans="2:32" s="53" customFormat="1">
      <c r="B69" s="54"/>
      <c r="C69" s="244">
        <f t="shared" si="26"/>
        <v>10</v>
      </c>
      <c r="D69" s="98">
        <f t="shared" si="26"/>
        <v>-6</v>
      </c>
      <c r="E69" s="228">
        <v>43</v>
      </c>
      <c r="F69" s="229" t="e">
        <f t="shared" si="27"/>
        <v>#VALUE!</v>
      </c>
      <c r="G69" s="230" t="e">
        <f>G$56+(G$54*P$54/P$55-G$56)*(D69-(-7))/(2-(-7))</f>
        <v>#VALUE!</v>
      </c>
      <c r="H69" s="230" t="e">
        <f>H$56+(H$54*Q$54/Q$55-H$56)*(D69-(-7))/(2-(-7))</f>
        <v>#VALUE!</v>
      </c>
      <c r="I69" s="230" t="e">
        <f t="shared" ref="I69:I80" si="35">J$56+(J$54*P$54/P$55-J$56)*(D69-(-7))/(2-(-7))</f>
        <v>#VALUE!</v>
      </c>
      <c r="J69" s="230" t="e">
        <f>K$56+(K$54*Q$54/Q$55-K$56)*(D69-(-7))/(2-(-7))</f>
        <v>#VALUE!</v>
      </c>
      <c r="K69" s="230" t="e">
        <f t="shared" ref="K69:K80" si="36">M$56+(M$54*P$54/P$55-M$56)*(D69-(-7))/(2-(-7))</f>
        <v>#VALUE!</v>
      </c>
      <c r="L69" s="230" t="e">
        <f>N$56+(N$54*Q$54/Q$55-N$56)*(D69-(-7))/(2-(-7))</f>
        <v>#VALUE!</v>
      </c>
      <c r="M69" s="230" t="e">
        <f t="shared" si="18"/>
        <v>#VALUE!</v>
      </c>
      <c r="N69" s="231" t="e">
        <f t="shared" ref="N69:N80" si="37">IF(F69&lt;=G69,1,IF(F69&lt;=I69,2,IF(F69&lt;=K69,3,IF(F69&lt;=M69,4,IF(M69&lt;F69,5)))))</f>
        <v>#VALUE!</v>
      </c>
      <c r="O69" s="232" t="e">
        <f t="shared" si="20"/>
        <v>#VALUE!</v>
      </c>
      <c r="P69" s="232" t="e">
        <f t="shared" si="34"/>
        <v>#VALUE!</v>
      </c>
      <c r="Q69" s="233" t="e">
        <f t="shared" ref="Q69:Q75" si="38">IF(N69=1,H$56+(H$54*Q$54/Q$55-H$56)*(D69-(-7))/(2-(-7)),IF(N69=2,T$47+(R$47-T$47)*(D69-T$45)/(R$45-T$45),IF(N69=3,P$47+(T$47-P$47)*(D69-P$45)/(T$45-P$45),IF(N69=4,U$47+(P$47-U$47)*(D69-U$45)/(P$45-U$45),IF(N69=5,Q$56+(Q$54-Q$56)*(D69-(-7))/(2-(-7)))))))</f>
        <v>#VALUE!</v>
      </c>
      <c r="R69" s="233" t="e">
        <f t="shared" si="22"/>
        <v>#VALUE!</v>
      </c>
      <c r="S69" s="233" t="e">
        <f t="shared" si="23"/>
        <v>#VALUE!</v>
      </c>
      <c r="T69" s="233" t="e">
        <f t="shared" si="24"/>
        <v>#VALUE!</v>
      </c>
      <c r="U69" s="234" t="e">
        <f t="shared" si="25"/>
        <v>#VALUE!</v>
      </c>
      <c r="V69" s="59"/>
      <c r="W69" s="35"/>
      <c r="X69" s="35"/>
      <c r="Y69" s="91"/>
      <c r="Z69" s="35"/>
      <c r="AA69" s="35"/>
      <c r="AB69" s="35"/>
      <c r="AC69" s="35"/>
      <c r="AD69" s="35"/>
      <c r="AE69" s="35"/>
      <c r="AF69" s="38"/>
    </row>
    <row r="70" spans="2:32" s="53" customFormat="1">
      <c r="B70" s="54"/>
      <c r="C70" s="245">
        <f t="shared" si="26"/>
        <v>11</v>
      </c>
      <c r="D70" s="97">
        <f t="shared" si="26"/>
        <v>-5</v>
      </c>
      <c r="E70" s="69">
        <v>59</v>
      </c>
      <c r="F70" s="63" t="e">
        <f t="shared" si="27"/>
        <v>#VALUE!</v>
      </c>
      <c r="G70" s="57" t="e">
        <f t="shared" ref="G70:G80" si="39">G$56+(G$54*P$54/P$55-G$56)*(D70-(-7))/(2-(-7))</f>
        <v>#VALUE!</v>
      </c>
      <c r="H70" s="57" t="e">
        <f t="shared" ref="H70:H80" si="40">H$56+(H$54*Q$54/Q$55-H$56)*(D70-(-7))/(2-(-7))</f>
        <v>#VALUE!</v>
      </c>
      <c r="I70" s="57" t="e">
        <f t="shared" si="35"/>
        <v>#VALUE!</v>
      </c>
      <c r="J70" s="57" t="e">
        <f t="shared" ref="J70:J80" si="41">K$56+(K$54*Q$54/Q$55-K$56)*(D70-(-7))/(2-(-7))</f>
        <v>#VALUE!</v>
      </c>
      <c r="K70" s="57" t="e">
        <f t="shared" si="36"/>
        <v>#VALUE!</v>
      </c>
      <c r="L70" s="57" t="e">
        <f t="shared" ref="L70:L80" si="42">N$56+(N$54*Q$54/Q$55-N$56)*(D70-(-7))/(2-(-7))</f>
        <v>#VALUE!</v>
      </c>
      <c r="M70" s="57" t="e">
        <f t="shared" si="18"/>
        <v>#VALUE!</v>
      </c>
      <c r="N70" s="71" t="e">
        <f t="shared" si="37"/>
        <v>#VALUE!</v>
      </c>
      <c r="O70" s="70" t="e">
        <f t="shared" si="20"/>
        <v>#VALUE!</v>
      </c>
      <c r="P70" s="70" t="e">
        <f t="shared" si="34"/>
        <v>#VALUE!</v>
      </c>
      <c r="Q70" s="62" t="e">
        <f t="shared" si="38"/>
        <v>#VALUE!</v>
      </c>
      <c r="R70" s="62" t="e">
        <f t="shared" si="22"/>
        <v>#VALUE!</v>
      </c>
      <c r="S70" s="62" t="e">
        <f t="shared" si="23"/>
        <v>#VALUE!</v>
      </c>
      <c r="T70" s="62" t="e">
        <f t="shared" si="24"/>
        <v>#VALUE!</v>
      </c>
      <c r="U70" s="236" t="e">
        <f t="shared" si="25"/>
        <v>#VALUE!</v>
      </c>
      <c r="V70" s="59"/>
      <c r="W70" s="35"/>
      <c r="X70" s="35"/>
      <c r="Y70" s="91"/>
      <c r="Z70" s="35"/>
      <c r="AA70" s="35"/>
      <c r="AB70" s="35"/>
      <c r="AC70" s="35"/>
      <c r="AD70" s="35"/>
      <c r="AE70" s="35"/>
      <c r="AF70" s="78"/>
    </row>
    <row r="71" spans="2:32" s="53" customFormat="1">
      <c r="B71" s="54"/>
      <c r="C71" s="245">
        <f t="shared" si="26"/>
        <v>12</v>
      </c>
      <c r="D71" s="97">
        <f t="shared" si="26"/>
        <v>-4</v>
      </c>
      <c r="E71" s="69">
        <v>77</v>
      </c>
      <c r="F71" s="63" t="e">
        <f t="shared" si="27"/>
        <v>#VALUE!</v>
      </c>
      <c r="G71" s="57" t="e">
        <f t="shared" si="39"/>
        <v>#VALUE!</v>
      </c>
      <c r="H71" s="57" t="e">
        <f t="shared" si="40"/>
        <v>#VALUE!</v>
      </c>
      <c r="I71" s="57" t="e">
        <f t="shared" si="35"/>
        <v>#VALUE!</v>
      </c>
      <c r="J71" s="57" t="e">
        <f t="shared" si="41"/>
        <v>#VALUE!</v>
      </c>
      <c r="K71" s="57" t="e">
        <f t="shared" si="36"/>
        <v>#VALUE!</v>
      </c>
      <c r="L71" s="57" t="e">
        <f t="shared" si="42"/>
        <v>#VALUE!</v>
      </c>
      <c r="M71" s="57" t="e">
        <f t="shared" si="18"/>
        <v>#VALUE!</v>
      </c>
      <c r="N71" s="71" t="e">
        <f t="shared" si="37"/>
        <v>#VALUE!</v>
      </c>
      <c r="O71" s="70" t="e">
        <f t="shared" si="20"/>
        <v>#VALUE!</v>
      </c>
      <c r="P71" s="70" t="e">
        <f t="shared" si="34"/>
        <v>#VALUE!</v>
      </c>
      <c r="Q71" s="62" t="e">
        <f t="shared" si="38"/>
        <v>#VALUE!</v>
      </c>
      <c r="R71" s="62" t="e">
        <f t="shared" si="22"/>
        <v>#VALUE!</v>
      </c>
      <c r="S71" s="62" t="e">
        <f t="shared" si="23"/>
        <v>#VALUE!</v>
      </c>
      <c r="T71" s="62" t="e">
        <f t="shared" si="24"/>
        <v>#VALUE!</v>
      </c>
      <c r="U71" s="236" t="e">
        <f t="shared" si="25"/>
        <v>#VALUE!</v>
      </c>
      <c r="V71" s="59"/>
      <c r="W71" s="55"/>
      <c r="X71" s="37"/>
      <c r="Y71" s="90"/>
      <c r="Z71" s="37"/>
      <c r="AA71" s="43"/>
      <c r="AB71" s="55"/>
      <c r="AC71" s="35"/>
      <c r="AD71" s="35"/>
      <c r="AE71" s="35"/>
      <c r="AF71" s="78"/>
    </row>
    <row r="72" spans="2:32" s="53" customFormat="1">
      <c r="B72" s="54"/>
      <c r="C72" s="245">
        <f t="shared" si="26"/>
        <v>13</v>
      </c>
      <c r="D72" s="97">
        <f t="shared" si="26"/>
        <v>-3</v>
      </c>
      <c r="E72" s="69">
        <v>89</v>
      </c>
      <c r="F72" s="63" t="e">
        <f t="shared" si="27"/>
        <v>#VALUE!</v>
      </c>
      <c r="G72" s="57" t="e">
        <f t="shared" si="39"/>
        <v>#VALUE!</v>
      </c>
      <c r="H72" s="57" t="e">
        <f t="shared" si="40"/>
        <v>#VALUE!</v>
      </c>
      <c r="I72" s="57" t="e">
        <f t="shared" si="35"/>
        <v>#VALUE!</v>
      </c>
      <c r="J72" s="57" t="e">
        <f t="shared" si="41"/>
        <v>#VALUE!</v>
      </c>
      <c r="K72" s="57" t="e">
        <f t="shared" si="36"/>
        <v>#VALUE!</v>
      </c>
      <c r="L72" s="57" t="e">
        <f t="shared" si="42"/>
        <v>#VALUE!</v>
      </c>
      <c r="M72" s="57" t="e">
        <f t="shared" si="18"/>
        <v>#VALUE!</v>
      </c>
      <c r="N72" s="71" t="e">
        <f t="shared" si="37"/>
        <v>#VALUE!</v>
      </c>
      <c r="O72" s="70" t="e">
        <f t="shared" si="20"/>
        <v>#VALUE!</v>
      </c>
      <c r="P72" s="70" t="e">
        <f t="shared" si="34"/>
        <v>#VALUE!</v>
      </c>
      <c r="Q72" s="62" t="e">
        <f t="shared" si="38"/>
        <v>#VALUE!</v>
      </c>
      <c r="R72" s="62" t="e">
        <f t="shared" si="22"/>
        <v>#VALUE!</v>
      </c>
      <c r="S72" s="62" t="e">
        <f t="shared" si="23"/>
        <v>#VALUE!</v>
      </c>
      <c r="T72" s="62" t="e">
        <f t="shared" si="24"/>
        <v>#VALUE!</v>
      </c>
      <c r="U72" s="236" t="e">
        <f t="shared" si="25"/>
        <v>#VALUE!</v>
      </c>
      <c r="V72" s="59"/>
      <c r="W72" s="35"/>
      <c r="X72" s="35"/>
      <c r="Y72" s="91"/>
      <c r="Z72" s="35"/>
      <c r="AA72" s="35"/>
      <c r="AB72" s="35"/>
      <c r="AC72" s="35"/>
      <c r="AD72" s="35"/>
      <c r="AE72" s="35"/>
      <c r="AF72" s="37"/>
    </row>
    <row r="73" spans="2:32" s="53" customFormat="1">
      <c r="B73" s="54"/>
      <c r="C73" s="245">
        <f t="shared" si="26"/>
        <v>14</v>
      </c>
      <c r="D73" s="97">
        <f t="shared" si="26"/>
        <v>-2</v>
      </c>
      <c r="E73" s="69">
        <v>114</v>
      </c>
      <c r="F73" s="63" t="e">
        <f t="shared" si="27"/>
        <v>#VALUE!</v>
      </c>
      <c r="G73" s="57" t="e">
        <f t="shared" si="39"/>
        <v>#VALUE!</v>
      </c>
      <c r="H73" s="57" t="e">
        <f t="shared" si="40"/>
        <v>#VALUE!</v>
      </c>
      <c r="I73" s="57" t="e">
        <f t="shared" si="35"/>
        <v>#VALUE!</v>
      </c>
      <c r="J73" s="57" t="e">
        <f t="shared" si="41"/>
        <v>#VALUE!</v>
      </c>
      <c r="K73" s="57" t="e">
        <f t="shared" si="36"/>
        <v>#VALUE!</v>
      </c>
      <c r="L73" s="57" t="e">
        <f t="shared" si="42"/>
        <v>#VALUE!</v>
      </c>
      <c r="M73" s="57" t="e">
        <f t="shared" si="18"/>
        <v>#VALUE!</v>
      </c>
      <c r="N73" s="71" t="e">
        <f t="shared" si="37"/>
        <v>#VALUE!</v>
      </c>
      <c r="O73" s="70" t="e">
        <f t="shared" si="20"/>
        <v>#VALUE!</v>
      </c>
      <c r="P73" s="70" t="e">
        <f t="shared" si="34"/>
        <v>#VALUE!</v>
      </c>
      <c r="Q73" s="62" t="e">
        <f t="shared" si="38"/>
        <v>#VALUE!</v>
      </c>
      <c r="R73" s="62" t="e">
        <f t="shared" si="22"/>
        <v>#VALUE!</v>
      </c>
      <c r="S73" s="62" t="e">
        <f t="shared" si="23"/>
        <v>#VALUE!</v>
      </c>
      <c r="T73" s="62" t="e">
        <f t="shared" si="24"/>
        <v>#VALUE!</v>
      </c>
      <c r="U73" s="236" t="e">
        <f t="shared" si="25"/>
        <v>#VALUE!</v>
      </c>
      <c r="V73" s="59"/>
      <c r="W73" s="35"/>
      <c r="X73" s="47"/>
      <c r="Y73" s="90"/>
      <c r="Z73" s="39"/>
      <c r="AA73" s="47"/>
      <c r="AB73" s="39"/>
      <c r="AC73" s="39"/>
      <c r="AD73" s="39"/>
      <c r="AE73" s="56"/>
      <c r="AF73" s="37"/>
    </row>
    <row r="74" spans="2:32" s="53" customFormat="1">
      <c r="B74" s="54"/>
      <c r="C74" s="245">
        <f t="shared" si="26"/>
        <v>15</v>
      </c>
      <c r="D74" s="97">
        <f t="shared" si="26"/>
        <v>-1</v>
      </c>
      <c r="E74" s="69">
        <v>136</v>
      </c>
      <c r="F74" s="63" t="e">
        <f t="shared" si="27"/>
        <v>#VALUE!</v>
      </c>
      <c r="G74" s="57" t="e">
        <f t="shared" si="39"/>
        <v>#VALUE!</v>
      </c>
      <c r="H74" s="57" t="e">
        <f t="shared" si="40"/>
        <v>#VALUE!</v>
      </c>
      <c r="I74" s="57" t="e">
        <f t="shared" si="35"/>
        <v>#VALUE!</v>
      </c>
      <c r="J74" s="57" t="e">
        <f t="shared" si="41"/>
        <v>#VALUE!</v>
      </c>
      <c r="K74" s="57" t="e">
        <f t="shared" si="36"/>
        <v>#VALUE!</v>
      </c>
      <c r="L74" s="57" t="e">
        <f t="shared" si="42"/>
        <v>#VALUE!</v>
      </c>
      <c r="M74" s="57" t="e">
        <f t="shared" si="18"/>
        <v>#VALUE!</v>
      </c>
      <c r="N74" s="71" t="e">
        <f t="shared" si="37"/>
        <v>#VALUE!</v>
      </c>
      <c r="O74" s="70" t="e">
        <f t="shared" si="20"/>
        <v>#VALUE!</v>
      </c>
      <c r="P74" s="70" t="e">
        <f t="shared" si="34"/>
        <v>#VALUE!</v>
      </c>
      <c r="Q74" s="62" t="e">
        <f t="shared" si="38"/>
        <v>#VALUE!</v>
      </c>
      <c r="R74" s="62" t="e">
        <f t="shared" si="22"/>
        <v>#VALUE!</v>
      </c>
      <c r="S74" s="62" t="e">
        <f t="shared" si="23"/>
        <v>#VALUE!</v>
      </c>
      <c r="T74" s="62" t="e">
        <f t="shared" si="24"/>
        <v>#VALUE!</v>
      </c>
      <c r="U74" s="236" t="e">
        <f t="shared" si="25"/>
        <v>#VALUE!</v>
      </c>
      <c r="V74" s="59"/>
      <c r="W74" s="35"/>
      <c r="X74" s="47"/>
      <c r="Y74" s="90"/>
      <c r="Z74" s="39"/>
      <c r="AA74" s="47"/>
      <c r="AB74" s="39"/>
      <c r="AC74" s="39"/>
      <c r="AD74" s="39"/>
      <c r="AE74" s="56"/>
      <c r="AF74" s="37"/>
    </row>
    <row r="75" spans="2:32" s="53" customFormat="1">
      <c r="B75" s="54"/>
      <c r="C75" s="245">
        <f t="shared" si="26"/>
        <v>16</v>
      </c>
      <c r="D75" s="97">
        <f t="shared" si="26"/>
        <v>0</v>
      </c>
      <c r="E75" s="69">
        <v>317</v>
      </c>
      <c r="F75" s="63" t="e">
        <f t="shared" si="27"/>
        <v>#VALUE!</v>
      </c>
      <c r="G75" s="57" t="e">
        <f t="shared" si="39"/>
        <v>#VALUE!</v>
      </c>
      <c r="H75" s="57" t="e">
        <f t="shared" si="40"/>
        <v>#VALUE!</v>
      </c>
      <c r="I75" s="57" t="e">
        <f t="shared" si="35"/>
        <v>#VALUE!</v>
      </c>
      <c r="J75" s="57" t="e">
        <f t="shared" si="41"/>
        <v>#VALUE!</v>
      </c>
      <c r="K75" s="57" t="e">
        <f t="shared" si="36"/>
        <v>#VALUE!</v>
      </c>
      <c r="L75" s="57" t="e">
        <f t="shared" si="42"/>
        <v>#VALUE!</v>
      </c>
      <c r="M75" s="57" t="e">
        <f t="shared" si="18"/>
        <v>#VALUE!</v>
      </c>
      <c r="N75" s="71" t="e">
        <f t="shared" si="37"/>
        <v>#VALUE!</v>
      </c>
      <c r="O75" s="70" t="e">
        <f t="shared" si="20"/>
        <v>#VALUE!</v>
      </c>
      <c r="P75" s="70" t="e">
        <f t="shared" si="34"/>
        <v>#VALUE!</v>
      </c>
      <c r="Q75" s="62" t="e">
        <f t="shared" si="38"/>
        <v>#VALUE!</v>
      </c>
      <c r="R75" s="62" t="e">
        <f t="shared" si="22"/>
        <v>#VALUE!</v>
      </c>
      <c r="S75" s="62" t="e">
        <f t="shared" si="23"/>
        <v>#VALUE!</v>
      </c>
      <c r="T75" s="62" t="e">
        <f t="shared" si="24"/>
        <v>#VALUE!</v>
      </c>
      <c r="U75" s="236" t="e">
        <f t="shared" si="25"/>
        <v>#VALUE!</v>
      </c>
      <c r="V75" s="59"/>
      <c r="W75" s="35"/>
      <c r="X75" s="47"/>
      <c r="Y75" s="90"/>
      <c r="Z75" s="39"/>
      <c r="AA75" s="47"/>
      <c r="AB75" s="39"/>
      <c r="AC75" s="39"/>
      <c r="AD75" s="39"/>
      <c r="AE75" s="56"/>
      <c r="AF75" s="37"/>
    </row>
    <row r="76" spans="2:32" s="53" customFormat="1">
      <c r="B76" s="54"/>
      <c r="C76" s="245">
        <f t="shared" si="26"/>
        <v>17</v>
      </c>
      <c r="D76" s="97">
        <f t="shared" si="26"/>
        <v>1</v>
      </c>
      <c r="E76" s="69">
        <v>182</v>
      </c>
      <c r="F76" s="63" t="e">
        <f t="shared" si="27"/>
        <v>#VALUE!</v>
      </c>
      <c r="G76" s="57" t="e">
        <f t="shared" si="39"/>
        <v>#VALUE!</v>
      </c>
      <c r="H76" s="57" t="e">
        <f t="shared" si="40"/>
        <v>#VALUE!</v>
      </c>
      <c r="I76" s="57" t="e">
        <f t="shared" si="35"/>
        <v>#VALUE!</v>
      </c>
      <c r="J76" s="57" t="e">
        <f t="shared" si="41"/>
        <v>#VALUE!</v>
      </c>
      <c r="K76" s="57" t="e">
        <f t="shared" si="36"/>
        <v>#VALUE!</v>
      </c>
      <c r="L76" s="57" t="e">
        <f t="shared" si="42"/>
        <v>#VALUE!</v>
      </c>
      <c r="M76" s="57" t="e">
        <f t="shared" si="18"/>
        <v>#VALUE!</v>
      </c>
      <c r="N76" s="71" t="e">
        <f t="shared" si="37"/>
        <v>#VALUE!</v>
      </c>
      <c r="O76" s="70" t="e">
        <f t="shared" si="20"/>
        <v>#VALUE!</v>
      </c>
      <c r="P76" s="70" t="e">
        <f t="shared" si="34"/>
        <v>#VALUE!</v>
      </c>
      <c r="Q76" s="62" t="e">
        <f>IF(N76=1,H$56+(H$54*Q$54/Q$55-H$56)*(D76-(-7))/(2-(-7)),IF(N76=2,T$47+(R$47-T$47)*(D76-T$45)/(R$45-T$45),IF(N76=3,P$47+(T$47-P$47)*(D76-P$45)/(T$45-P$45),IF(N76=4,U$47+(P$47-U$47)*(D76-U$45)/(P$45-U$45),IF(N76=5,Q$56+(Q$54-Q$56)*(D76-(-7))/(2-(-7)))))))</f>
        <v>#VALUE!</v>
      </c>
      <c r="R76" s="62" t="e">
        <f t="shared" si="22"/>
        <v>#VALUE!</v>
      </c>
      <c r="S76" s="62" t="e">
        <f t="shared" si="23"/>
        <v>#VALUE!</v>
      </c>
      <c r="T76" s="62" t="e">
        <f t="shared" si="24"/>
        <v>#VALUE!</v>
      </c>
      <c r="U76" s="236" t="e">
        <f t="shared" si="25"/>
        <v>#VALUE!</v>
      </c>
      <c r="V76" s="59"/>
      <c r="W76" s="35"/>
      <c r="X76" s="47"/>
      <c r="Y76" s="90"/>
      <c r="Z76" s="39"/>
      <c r="AA76" s="47"/>
      <c r="AB76" s="39"/>
      <c r="AC76" s="39"/>
      <c r="AD76" s="39"/>
      <c r="AE76" s="56"/>
      <c r="AF76" s="37"/>
    </row>
    <row r="77" spans="2:32" s="53" customFormat="1">
      <c r="B77" s="54"/>
      <c r="C77" s="245">
        <f t="shared" ref="C77:D90" si="43">C76+1</f>
        <v>18</v>
      </c>
      <c r="D77" s="97">
        <f t="shared" si="43"/>
        <v>2</v>
      </c>
      <c r="E77" s="69">
        <v>187</v>
      </c>
      <c r="F77" s="63" t="e">
        <f t="shared" si="27"/>
        <v>#VALUE!</v>
      </c>
      <c r="G77" s="57" t="e">
        <f t="shared" si="39"/>
        <v>#VALUE!</v>
      </c>
      <c r="H77" s="57" t="e">
        <f t="shared" si="40"/>
        <v>#VALUE!</v>
      </c>
      <c r="I77" s="57" t="e">
        <f t="shared" si="35"/>
        <v>#VALUE!</v>
      </c>
      <c r="J77" s="57" t="e">
        <f t="shared" si="41"/>
        <v>#VALUE!</v>
      </c>
      <c r="K77" s="57" t="e">
        <f t="shared" si="36"/>
        <v>#VALUE!</v>
      </c>
      <c r="L77" s="57" t="e">
        <f t="shared" si="42"/>
        <v>#VALUE!</v>
      </c>
      <c r="M77" s="57" t="e">
        <f t="shared" si="18"/>
        <v>#VALUE!</v>
      </c>
      <c r="N77" s="71" t="e">
        <f t="shared" si="37"/>
        <v>#VALUE!</v>
      </c>
      <c r="O77" s="70" t="e">
        <f t="shared" si="20"/>
        <v>#VALUE!</v>
      </c>
      <c r="P77" s="70" t="e">
        <f t="shared" si="34"/>
        <v>#VALUE!</v>
      </c>
      <c r="Q77" s="62" t="e">
        <f t="shared" ref="Q77:Q80" si="44">IF(N77=1,H$56+(H$54*Q$54/Q$55-H$56)*(D77-(-7))/(2-(-7)),IF(N77=2,T$47+(R$47-T$47)*(D77-T$45)/(R$45-T$45),IF(N77=3,P$47+(T$47-P$47)*(D77-P$45)/(T$45-P$45),IF(N77=4,U$47+(P$47-U$47)*(D77-U$45)/(P$45-U$45),IF(N77=5,Q$56+(Q$54-Q$56)*(D77-(-7))/(2-(-7)))))))</f>
        <v>#VALUE!</v>
      </c>
      <c r="R77" s="62" t="e">
        <f t="shared" si="22"/>
        <v>#VALUE!</v>
      </c>
      <c r="S77" s="62" t="e">
        <f t="shared" si="23"/>
        <v>#VALUE!</v>
      </c>
      <c r="T77" s="62" t="e">
        <f t="shared" si="24"/>
        <v>#VALUE!</v>
      </c>
      <c r="U77" s="236" t="e">
        <f t="shared" si="25"/>
        <v>#VALUE!</v>
      </c>
      <c r="V77" s="59"/>
      <c r="W77" s="35"/>
      <c r="X77" s="47"/>
      <c r="Y77" s="90"/>
      <c r="Z77" s="39"/>
      <c r="AA77" s="47"/>
      <c r="AB77" s="39"/>
      <c r="AC77" s="39"/>
      <c r="AD77" s="39"/>
      <c r="AE77" s="56"/>
      <c r="AF77" s="37"/>
    </row>
    <row r="78" spans="2:32" s="53" customFormat="1">
      <c r="B78" s="54"/>
      <c r="C78" s="245">
        <f t="shared" si="43"/>
        <v>19</v>
      </c>
      <c r="D78" s="97">
        <f t="shared" si="43"/>
        <v>3</v>
      </c>
      <c r="E78" s="69">
        <v>191</v>
      </c>
      <c r="F78" s="63" t="e">
        <f t="shared" si="27"/>
        <v>#VALUE!</v>
      </c>
      <c r="G78" s="57" t="e">
        <f t="shared" si="39"/>
        <v>#VALUE!</v>
      </c>
      <c r="H78" s="57" t="e">
        <f t="shared" si="40"/>
        <v>#VALUE!</v>
      </c>
      <c r="I78" s="57" t="e">
        <f t="shared" si="35"/>
        <v>#VALUE!</v>
      </c>
      <c r="J78" s="57" t="e">
        <f t="shared" si="41"/>
        <v>#VALUE!</v>
      </c>
      <c r="K78" s="57" t="e">
        <f t="shared" si="36"/>
        <v>#VALUE!</v>
      </c>
      <c r="L78" s="57" t="e">
        <f t="shared" si="42"/>
        <v>#VALUE!</v>
      </c>
      <c r="M78" s="57" t="e">
        <f t="shared" si="18"/>
        <v>#VALUE!</v>
      </c>
      <c r="N78" s="71" t="e">
        <f t="shared" si="37"/>
        <v>#VALUE!</v>
      </c>
      <c r="O78" s="70" t="e">
        <f t="shared" si="20"/>
        <v>#VALUE!</v>
      </c>
      <c r="P78" s="70" t="e">
        <f t="shared" si="34"/>
        <v>#VALUE!</v>
      </c>
      <c r="Q78" s="62" t="e">
        <f t="shared" si="44"/>
        <v>#VALUE!</v>
      </c>
      <c r="R78" s="62" t="e">
        <f t="shared" si="22"/>
        <v>#VALUE!</v>
      </c>
      <c r="S78" s="62" t="e">
        <f t="shared" si="23"/>
        <v>#VALUE!</v>
      </c>
      <c r="T78" s="62" t="e">
        <f t="shared" si="24"/>
        <v>#VALUE!</v>
      </c>
      <c r="U78" s="236" t="e">
        <f t="shared" si="25"/>
        <v>#VALUE!</v>
      </c>
      <c r="V78" s="59"/>
      <c r="W78" s="35"/>
      <c r="X78" s="47"/>
      <c r="Y78" s="90"/>
      <c r="Z78" s="39"/>
      <c r="AA78" s="47"/>
      <c r="AB78" s="39"/>
      <c r="AC78" s="39"/>
      <c r="AD78" s="39"/>
      <c r="AE78" s="56"/>
      <c r="AF78" s="37"/>
    </row>
    <row r="79" spans="2:32" s="53" customFormat="1">
      <c r="B79" s="54"/>
      <c r="C79" s="245">
        <f t="shared" si="43"/>
        <v>20</v>
      </c>
      <c r="D79" s="97">
        <f t="shared" si="43"/>
        <v>4</v>
      </c>
      <c r="E79" s="69">
        <v>192</v>
      </c>
      <c r="F79" s="63" t="e">
        <f t="shared" si="27"/>
        <v>#VALUE!</v>
      </c>
      <c r="G79" s="57" t="e">
        <f t="shared" si="39"/>
        <v>#VALUE!</v>
      </c>
      <c r="H79" s="57" t="e">
        <f t="shared" si="40"/>
        <v>#VALUE!</v>
      </c>
      <c r="I79" s="57" t="e">
        <f t="shared" si="35"/>
        <v>#VALUE!</v>
      </c>
      <c r="J79" s="57" t="e">
        <f t="shared" si="41"/>
        <v>#VALUE!</v>
      </c>
      <c r="K79" s="57" t="e">
        <f t="shared" si="36"/>
        <v>#VALUE!</v>
      </c>
      <c r="L79" s="57" t="e">
        <f t="shared" si="42"/>
        <v>#VALUE!</v>
      </c>
      <c r="M79" s="57" t="e">
        <f t="shared" si="18"/>
        <v>#VALUE!</v>
      </c>
      <c r="N79" s="71" t="e">
        <f t="shared" si="37"/>
        <v>#VALUE!</v>
      </c>
      <c r="O79" s="70" t="e">
        <f t="shared" si="20"/>
        <v>#VALUE!</v>
      </c>
      <c r="P79" s="70" t="e">
        <f t="shared" si="34"/>
        <v>#VALUE!</v>
      </c>
      <c r="Q79" s="62" t="e">
        <f t="shared" si="44"/>
        <v>#VALUE!</v>
      </c>
      <c r="R79" s="62" t="e">
        <f t="shared" si="22"/>
        <v>#VALUE!</v>
      </c>
      <c r="S79" s="62" t="e">
        <f t="shared" si="23"/>
        <v>#VALUE!</v>
      </c>
      <c r="T79" s="62" t="e">
        <f t="shared" si="24"/>
        <v>#VALUE!</v>
      </c>
      <c r="U79" s="236" t="e">
        <f t="shared" si="25"/>
        <v>#VALUE!</v>
      </c>
      <c r="V79" s="59"/>
      <c r="W79" s="35"/>
      <c r="X79" s="47"/>
      <c r="Y79" s="90"/>
      <c r="Z79" s="39"/>
      <c r="AA79" s="47"/>
      <c r="AB79" s="47"/>
      <c r="AC79" s="47"/>
      <c r="AD79" s="39"/>
      <c r="AE79" s="56"/>
      <c r="AF79" s="37"/>
    </row>
    <row r="80" spans="2:32" s="53" customFormat="1" ht="14.25" thickBot="1">
      <c r="B80" s="54"/>
      <c r="C80" s="237">
        <f t="shared" si="43"/>
        <v>21</v>
      </c>
      <c r="D80" s="95">
        <f t="shared" si="43"/>
        <v>5</v>
      </c>
      <c r="E80" s="238">
        <v>184</v>
      </c>
      <c r="F80" s="239" t="e">
        <f t="shared" si="27"/>
        <v>#VALUE!</v>
      </c>
      <c r="G80" s="240" t="e">
        <f t="shared" si="39"/>
        <v>#VALUE!</v>
      </c>
      <c r="H80" s="240" t="e">
        <f t="shared" si="40"/>
        <v>#VALUE!</v>
      </c>
      <c r="I80" s="240" t="e">
        <f t="shared" si="35"/>
        <v>#VALUE!</v>
      </c>
      <c r="J80" s="240" t="e">
        <f t="shared" si="41"/>
        <v>#VALUE!</v>
      </c>
      <c r="K80" s="240" t="e">
        <f t="shared" si="36"/>
        <v>#VALUE!</v>
      </c>
      <c r="L80" s="240" t="e">
        <f t="shared" si="42"/>
        <v>#VALUE!</v>
      </c>
      <c r="M80" s="240" t="e">
        <f t="shared" si="18"/>
        <v>#VALUE!</v>
      </c>
      <c r="N80" s="241" t="e">
        <f t="shared" si="37"/>
        <v>#VALUE!</v>
      </c>
      <c r="O80" s="242" t="e">
        <f t="shared" si="20"/>
        <v>#VALUE!</v>
      </c>
      <c r="P80" s="242" t="e">
        <f t="shared" si="34"/>
        <v>#VALUE!</v>
      </c>
      <c r="Q80" s="60" t="e">
        <f t="shared" si="44"/>
        <v>#VALUE!</v>
      </c>
      <c r="R80" s="60" t="e">
        <f t="shared" si="22"/>
        <v>#VALUE!</v>
      </c>
      <c r="S80" s="60" t="e">
        <f t="shared" si="23"/>
        <v>#VALUE!</v>
      </c>
      <c r="T80" s="60" t="e">
        <f t="shared" si="24"/>
        <v>#VALUE!</v>
      </c>
      <c r="U80" s="243" t="e">
        <f t="shared" si="25"/>
        <v>#VALUE!</v>
      </c>
      <c r="V80" s="59"/>
      <c r="W80" s="35"/>
      <c r="X80" s="47"/>
      <c r="Y80" s="90"/>
      <c r="Z80" s="39"/>
      <c r="AA80" s="47"/>
      <c r="AB80" s="47"/>
      <c r="AC80" s="47"/>
      <c r="AD80" s="39"/>
      <c r="AE80" s="56"/>
      <c r="AF80" s="37"/>
    </row>
    <row r="81" spans="2:32" s="53" customFormat="1">
      <c r="B81" s="54"/>
      <c r="C81" s="244">
        <f t="shared" si="43"/>
        <v>22</v>
      </c>
      <c r="D81" s="98">
        <f t="shared" si="43"/>
        <v>6</v>
      </c>
      <c r="E81" s="228">
        <v>173</v>
      </c>
      <c r="F81" s="229" t="e">
        <f t="shared" si="27"/>
        <v>#VALUE!</v>
      </c>
      <c r="G81" s="230" t="e">
        <f t="shared" si="28"/>
        <v>#VALUE!</v>
      </c>
      <c r="H81" s="230" t="e">
        <f>H$56+(H$53-H$56)*(D81-(-7))/(7-(-7))</f>
        <v>#VALUE!</v>
      </c>
      <c r="I81" s="230" t="e">
        <f t="shared" ref="I81:I90" si="45">J$56+(J$53-J$56)*(D81-(-7))/(7-(-7))</f>
        <v>#VALUE!</v>
      </c>
      <c r="J81" s="230" t="e">
        <f>K$56+(K$53-K$56)*(D81-(-7))/(7-(-7))</f>
        <v>#VALUE!</v>
      </c>
      <c r="K81" s="230" t="e">
        <f t="shared" ref="K81:K90" si="46">M$56+(M$53-M$56)*(D81-(-7))/(7-(-7))</f>
        <v>#VALUE!</v>
      </c>
      <c r="L81" s="230" t="e">
        <f>N$56+(N$53-N$56)*(D81-(-7))/(7-(-7))</f>
        <v>#VALUE!</v>
      </c>
      <c r="M81" s="230" t="e">
        <f t="shared" si="18"/>
        <v>#VALUE!</v>
      </c>
      <c r="N81" s="231" t="e">
        <f t="shared" ref="N81:N90" si="47">IF(F81&lt;=G81,1,IF(F81&lt;=I81,2,IF(F81&lt;=M81,3)))</f>
        <v>#VALUE!</v>
      </c>
      <c r="O81" s="232" t="e">
        <f t="shared" si="20"/>
        <v>#VALUE!</v>
      </c>
      <c r="P81" s="232" t="e">
        <f t="shared" si="34"/>
        <v>#VALUE!</v>
      </c>
      <c r="Q81" s="233" t="e">
        <f>IF(N81=1,H$56+(H$53-H$56)*(D81-(-7))/(7-(-7)),IF(N81=2,S$47+(Q$47-S$47)*(D81-S$45)/(Q$45-S$45),IF(N81=3,O$47+(S$47-O$47)*(D81-O$45)/(S$45-O$45))))</f>
        <v>#VALUE!</v>
      </c>
      <c r="R81" s="233" t="e">
        <f t="shared" si="22"/>
        <v>#VALUE!</v>
      </c>
      <c r="S81" s="233" t="e">
        <f t="shared" si="23"/>
        <v>#VALUE!</v>
      </c>
      <c r="T81" s="233" t="e">
        <f t="shared" si="24"/>
        <v>#VALUE!</v>
      </c>
      <c r="U81" s="234" t="e">
        <f t="shared" si="25"/>
        <v>#VALUE!</v>
      </c>
      <c r="V81" s="59"/>
      <c r="W81" s="35"/>
      <c r="X81" s="47"/>
      <c r="Y81" s="90"/>
      <c r="Z81" s="39"/>
      <c r="AA81" s="47"/>
      <c r="AB81" s="47"/>
      <c r="AC81" s="47"/>
      <c r="AD81" s="39"/>
      <c r="AE81" s="56"/>
      <c r="AF81" s="37"/>
    </row>
    <row r="82" spans="2:32" s="53" customFormat="1">
      <c r="B82" s="54"/>
      <c r="C82" s="245">
        <f t="shared" si="43"/>
        <v>23</v>
      </c>
      <c r="D82" s="97">
        <f t="shared" si="43"/>
        <v>7</v>
      </c>
      <c r="E82" s="69">
        <v>140</v>
      </c>
      <c r="F82" s="63" t="e">
        <f t="shared" si="27"/>
        <v>#VALUE!</v>
      </c>
      <c r="G82" s="57" t="e">
        <f t="shared" si="28"/>
        <v>#VALUE!</v>
      </c>
      <c r="H82" s="57" t="e">
        <f t="shared" ref="H82:H90" si="48">H$56+(H$53-H$56)*(D82-(-7))/(7-(-7))</f>
        <v>#VALUE!</v>
      </c>
      <c r="I82" s="57" t="e">
        <f t="shared" si="45"/>
        <v>#VALUE!</v>
      </c>
      <c r="J82" s="57" t="e">
        <f t="shared" ref="J82:J90" si="49">K$56+(K$53-K$56)*(D82-(-7))/(7-(-7))</f>
        <v>#VALUE!</v>
      </c>
      <c r="K82" s="57" t="e">
        <f t="shared" si="46"/>
        <v>#VALUE!</v>
      </c>
      <c r="L82" s="57" t="e">
        <f t="shared" ref="L82:L90" si="50">N$56+(N$53-N$56)*(D82-(-7))/(7-(-7))</f>
        <v>#VALUE!</v>
      </c>
      <c r="M82" s="57" t="e">
        <f t="shared" si="18"/>
        <v>#VALUE!</v>
      </c>
      <c r="N82" s="71" t="e">
        <f t="shared" si="47"/>
        <v>#VALUE!</v>
      </c>
      <c r="O82" s="70" t="e">
        <f t="shared" si="20"/>
        <v>#VALUE!</v>
      </c>
      <c r="P82" s="70" t="e">
        <f t="shared" si="34"/>
        <v>#VALUE!</v>
      </c>
      <c r="Q82" s="62" t="e">
        <f t="shared" ref="Q82:Q90" si="51">IF(N82=1,H$56+(H$53-H$56)*(D82-(-7))/(7-(-7)),IF(N82=2,S$47+(Q$47-S$47)*(D82-S$45)/(Q$45-S$45),IF(N82=3,O$47+(S$47-O$47)*(D82-O$45)/(S$45-O$45))))</f>
        <v>#VALUE!</v>
      </c>
      <c r="R82" s="62" t="e">
        <f t="shared" si="22"/>
        <v>#VALUE!</v>
      </c>
      <c r="S82" s="62" t="e">
        <f t="shared" si="23"/>
        <v>#VALUE!</v>
      </c>
      <c r="T82" s="62" t="e">
        <f t="shared" si="24"/>
        <v>#VALUE!</v>
      </c>
      <c r="U82" s="236" t="e">
        <f t="shared" si="25"/>
        <v>#VALUE!</v>
      </c>
      <c r="V82" s="59"/>
      <c r="W82" s="35"/>
      <c r="X82" s="47"/>
      <c r="Y82" s="90"/>
      <c r="Z82" s="39"/>
      <c r="AA82" s="47"/>
      <c r="AB82" s="47"/>
      <c r="AC82" s="47"/>
      <c r="AD82" s="39"/>
      <c r="AE82" s="56"/>
      <c r="AF82" s="37"/>
    </row>
    <row r="83" spans="2:32" s="53" customFormat="1">
      <c r="B83" s="54"/>
      <c r="C83" s="245">
        <f t="shared" si="43"/>
        <v>24</v>
      </c>
      <c r="D83" s="97">
        <f t="shared" si="43"/>
        <v>8</v>
      </c>
      <c r="E83" s="69">
        <v>138</v>
      </c>
      <c r="F83" s="63" t="e">
        <f t="shared" si="27"/>
        <v>#VALUE!</v>
      </c>
      <c r="G83" s="57" t="e">
        <f t="shared" si="28"/>
        <v>#VALUE!</v>
      </c>
      <c r="H83" s="57" t="e">
        <f t="shared" si="48"/>
        <v>#VALUE!</v>
      </c>
      <c r="I83" s="57" t="e">
        <f t="shared" si="45"/>
        <v>#VALUE!</v>
      </c>
      <c r="J83" s="57" t="e">
        <f t="shared" si="49"/>
        <v>#VALUE!</v>
      </c>
      <c r="K83" s="57" t="e">
        <f t="shared" si="46"/>
        <v>#VALUE!</v>
      </c>
      <c r="L83" s="57" t="e">
        <f t="shared" si="50"/>
        <v>#VALUE!</v>
      </c>
      <c r="M83" s="57" t="e">
        <f t="shared" si="18"/>
        <v>#VALUE!</v>
      </c>
      <c r="N83" s="71" t="e">
        <f t="shared" si="47"/>
        <v>#VALUE!</v>
      </c>
      <c r="O83" s="70" t="e">
        <f t="shared" si="20"/>
        <v>#VALUE!</v>
      </c>
      <c r="P83" s="70" t="e">
        <f t="shared" si="34"/>
        <v>#VALUE!</v>
      </c>
      <c r="Q83" s="62" t="e">
        <f t="shared" si="51"/>
        <v>#VALUE!</v>
      </c>
      <c r="R83" s="62" t="e">
        <f t="shared" si="22"/>
        <v>#VALUE!</v>
      </c>
      <c r="S83" s="62" t="e">
        <f t="shared" si="23"/>
        <v>#VALUE!</v>
      </c>
      <c r="T83" s="62" t="e">
        <f t="shared" si="24"/>
        <v>#VALUE!</v>
      </c>
      <c r="U83" s="236" t="e">
        <f t="shared" si="25"/>
        <v>#VALUE!</v>
      </c>
      <c r="V83" s="59"/>
      <c r="W83" s="35"/>
      <c r="X83" s="47"/>
      <c r="Y83" s="90"/>
      <c r="Z83" s="39"/>
      <c r="AA83" s="47"/>
      <c r="AB83" s="47"/>
      <c r="AC83" s="47"/>
      <c r="AD83" s="39"/>
      <c r="AE83" s="56"/>
      <c r="AF83" s="37"/>
    </row>
    <row r="84" spans="2:32" s="53" customFormat="1">
      <c r="B84" s="54"/>
      <c r="C84" s="245">
        <f t="shared" si="43"/>
        <v>25</v>
      </c>
      <c r="D84" s="97">
        <f t="shared" si="43"/>
        <v>9</v>
      </c>
      <c r="E84" s="69">
        <v>124</v>
      </c>
      <c r="F84" s="63" t="e">
        <f t="shared" si="27"/>
        <v>#VALUE!</v>
      </c>
      <c r="G84" s="57" t="e">
        <f t="shared" si="28"/>
        <v>#VALUE!</v>
      </c>
      <c r="H84" s="57" t="e">
        <f t="shared" si="48"/>
        <v>#VALUE!</v>
      </c>
      <c r="I84" s="57" t="e">
        <f t="shared" si="45"/>
        <v>#VALUE!</v>
      </c>
      <c r="J84" s="57" t="e">
        <f t="shared" si="49"/>
        <v>#VALUE!</v>
      </c>
      <c r="K84" s="57" t="e">
        <f t="shared" si="46"/>
        <v>#VALUE!</v>
      </c>
      <c r="L84" s="57" t="e">
        <f t="shared" si="50"/>
        <v>#VALUE!</v>
      </c>
      <c r="M84" s="57" t="e">
        <f t="shared" si="18"/>
        <v>#VALUE!</v>
      </c>
      <c r="N84" s="71" t="e">
        <f t="shared" si="47"/>
        <v>#VALUE!</v>
      </c>
      <c r="O84" s="70" t="e">
        <f t="shared" si="20"/>
        <v>#VALUE!</v>
      </c>
      <c r="P84" s="70" t="e">
        <f t="shared" si="34"/>
        <v>#VALUE!</v>
      </c>
      <c r="Q84" s="62" t="e">
        <f t="shared" si="51"/>
        <v>#VALUE!</v>
      </c>
      <c r="R84" s="62" t="e">
        <f t="shared" si="22"/>
        <v>#VALUE!</v>
      </c>
      <c r="S84" s="62" t="e">
        <f t="shared" si="23"/>
        <v>#VALUE!</v>
      </c>
      <c r="T84" s="62" t="e">
        <f t="shared" si="24"/>
        <v>#VALUE!</v>
      </c>
      <c r="U84" s="236" t="e">
        <f t="shared" si="25"/>
        <v>#VALUE!</v>
      </c>
      <c r="V84" s="59"/>
      <c r="W84" s="35"/>
      <c r="X84" s="47"/>
      <c r="Y84" s="90"/>
      <c r="Z84" s="39"/>
      <c r="AA84" s="47"/>
      <c r="AB84" s="47"/>
      <c r="AC84" s="47"/>
      <c r="AD84" s="39"/>
      <c r="AE84" s="56"/>
      <c r="AF84" s="37"/>
    </row>
    <row r="85" spans="2:32" s="53" customFormat="1">
      <c r="B85" s="54"/>
      <c r="C85" s="245">
        <f t="shared" si="43"/>
        <v>26</v>
      </c>
      <c r="D85" s="97">
        <f t="shared" si="43"/>
        <v>10</v>
      </c>
      <c r="E85" s="69">
        <v>106</v>
      </c>
      <c r="F85" s="63" t="e">
        <f t="shared" si="27"/>
        <v>#VALUE!</v>
      </c>
      <c r="G85" s="57" t="e">
        <f t="shared" si="28"/>
        <v>#VALUE!</v>
      </c>
      <c r="H85" s="57" t="e">
        <f t="shared" si="48"/>
        <v>#VALUE!</v>
      </c>
      <c r="I85" s="57" t="e">
        <f t="shared" si="45"/>
        <v>#VALUE!</v>
      </c>
      <c r="J85" s="57" t="e">
        <f t="shared" si="49"/>
        <v>#VALUE!</v>
      </c>
      <c r="K85" s="57" t="e">
        <f t="shared" si="46"/>
        <v>#VALUE!</v>
      </c>
      <c r="L85" s="57" t="e">
        <f t="shared" si="50"/>
        <v>#VALUE!</v>
      </c>
      <c r="M85" s="57" t="e">
        <f t="shared" si="18"/>
        <v>#VALUE!</v>
      </c>
      <c r="N85" s="71" t="e">
        <f t="shared" si="47"/>
        <v>#VALUE!</v>
      </c>
      <c r="O85" s="70" t="e">
        <f t="shared" si="20"/>
        <v>#VALUE!</v>
      </c>
      <c r="P85" s="70" t="e">
        <f t="shared" si="34"/>
        <v>#VALUE!</v>
      </c>
      <c r="Q85" s="62" t="e">
        <f t="shared" si="51"/>
        <v>#VALUE!</v>
      </c>
      <c r="R85" s="62" t="e">
        <f t="shared" si="22"/>
        <v>#VALUE!</v>
      </c>
      <c r="S85" s="62" t="e">
        <f t="shared" si="23"/>
        <v>#VALUE!</v>
      </c>
      <c r="T85" s="62" t="e">
        <f t="shared" si="24"/>
        <v>#VALUE!</v>
      </c>
      <c r="U85" s="236" t="e">
        <f t="shared" si="25"/>
        <v>#VALUE!</v>
      </c>
      <c r="V85" s="59"/>
      <c r="W85" s="35"/>
      <c r="X85" s="47"/>
      <c r="Y85" s="90"/>
      <c r="Z85" s="39"/>
      <c r="AA85" s="47"/>
      <c r="AB85" s="47"/>
      <c r="AC85" s="47"/>
      <c r="AD85" s="39"/>
      <c r="AE85" s="56"/>
      <c r="AF85" s="37"/>
    </row>
    <row r="86" spans="2:32" s="53" customFormat="1">
      <c r="B86" s="54"/>
      <c r="C86" s="245">
        <f t="shared" si="43"/>
        <v>27</v>
      </c>
      <c r="D86" s="97">
        <f t="shared" si="43"/>
        <v>11</v>
      </c>
      <c r="E86" s="69">
        <v>88</v>
      </c>
      <c r="F86" s="63" t="e">
        <f t="shared" si="27"/>
        <v>#VALUE!</v>
      </c>
      <c r="G86" s="57" t="e">
        <f t="shared" si="28"/>
        <v>#VALUE!</v>
      </c>
      <c r="H86" s="57" t="e">
        <f t="shared" si="48"/>
        <v>#VALUE!</v>
      </c>
      <c r="I86" s="57" t="e">
        <f t="shared" si="45"/>
        <v>#VALUE!</v>
      </c>
      <c r="J86" s="57" t="e">
        <f t="shared" si="49"/>
        <v>#VALUE!</v>
      </c>
      <c r="K86" s="57" t="e">
        <f t="shared" si="46"/>
        <v>#VALUE!</v>
      </c>
      <c r="L86" s="57" t="e">
        <f t="shared" si="50"/>
        <v>#VALUE!</v>
      </c>
      <c r="M86" s="57" t="e">
        <f t="shared" si="18"/>
        <v>#VALUE!</v>
      </c>
      <c r="N86" s="71" t="e">
        <f t="shared" si="47"/>
        <v>#VALUE!</v>
      </c>
      <c r="O86" s="70" t="e">
        <f t="shared" si="20"/>
        <v>#VALUE!</v>
      </c>
      <c r="P86" s="70" t="e">
        <f t="shared" si="34"/>
        <v>#VALUE!</v>
      </c>
      <c r="Q86" s="62" t="e">
        <f t="shared" si="51"/>
        <v>#VALUE!</v>
      </c>
      <c r="R86" s="62" t="e">
        <f t="shared" si="22"/>
        <v>#VALUE!</v>
      </c>
      <c r="S86" s="62" t="e">
        <f t="shared" si="23"/>
        <v>#VALUE!</v>
      </c>
      <c r="T86" s="62" t="e">
        <f t="shared" si="24"/>
        <v>#VALUE!</v>
      </c>
      <c r="U86" s="236" t="e">
        <f t="shared" si="25"/>
        <v>#VALUE!</v>
      </c>
      <c r="V86" s="59"/>
      <c r="W86" s="35"/>
      <c r="X86" s="47"/>
      <c r="Y86" s="90"/>
      <c r="Z86" s="39"/>
      <c r="AA86" s="47"/>
      <c r="AB86" s="47"/>
      <c r="AC86" s="47"/>
      <c r="AD86" s="39"/>
      <c r="AE86" s="56"/>
      <c r="AF86" s="37"/>
    </row>
    <row r="87" spans="2:32" s="53" customFormat="1">
      <c r="B87" s="54"/>
      <c r="C87" s="245">
        <f t="shared" si="43"/>
        <v>28</v>
      </c>
      <c r="D87" s="97">
        <f t="shared" si="43"/>
        <v>12</v>
      </c>
      <c r="E87" s="69">
        <v>74</v>
      </c>
      <c r="F87" s="63" t="e">
        <f t="shared" si="27"/>
        <v>#VALUE!</v>
      </c>
      <c r="G87" s="57" t="e">
        <f t="shared" si="28"/>
        <v>#VALUE!</v>
      </c>
      <c r="H87" s="57" t="e">
        <f t="shared" si="48"/>
        <v>#VALUE!</v>
      </c>
      <c r="I87" s="57" t="e">
        <f t="shared" si="45"/>
        <v>#VALUE!</v>
      </c>
      <c r="J87" s="57" t="e">
        <f t="shared" si="49"/>
        <v>#VALUE!</v>
      </c>
      <c r="K87" s="57" t="e">
        <f t="shared" si="46"/>
        <v>#VALUE!</v>
      </c>
      <c r="L87" s="57" t="e">
        <f t="shared" si="50"/>
        <v>#VALUE!</v>
      </c>
      <c r="M87" s="57" t="e">
        <f t="shared" si="18"/>
        <v>#VALUE!</v>
      </c>
      <c r="N87" s="71" t="e">
        <f t="shared" si="47"/>
        <v>#VALUE!</v>
      </c>
      <c r="O87" s="70" t="e">
        <f t="shared" si="20"/>
        <v>#VALUE!</v>
      </c>
      <c r="P87" s="70" t="e">
        <f t="shared" si="34"/>
        <v>#VALUE!</v>
      </c>
      <c r="Q87" s="62" t="e">
        <f t="shared" si="51"/>
        <v>#VALUE!</v>
      </c>
      <c r="R87" s="62" t="e">
        <f t="shared" si="22"/>
        <v>#VALUE!</v>
      </c>
      <c r="S87" s="62" t="e">
        <f t="shared" si="23"/>
        <v>#VALUE!</v>
      </c>
      <c r="T87" s="62" t="e">
        <f t="shared" si="24"/>
        <v>#VALUE!</v>
      </c>
      <c r="U87" s="236" t="e">
        <f t="shared" si="25"/>
        <v>#VALUE!</v>
      </c>
      <c r="V87" s="59"/>
      <c r="W87" s="35"/>
      <c r="X87" s="47"/>
      <c r="Y87" s="90"/>
      <c r="Z87" s="39"/>
      <c r="AA87" s="47"/>
      <c r="AB87" s="47"/>
      <c r="AC87" s="47"/>
      <c r="AD87" s="39"/>
      <c r="AE87" s="56"/>
      <c r="AF87" s="37"/>
    </row>
    <row r="88" spans="2:32" s="53" customFormat="1">
      <c r="B88" s="54"/>
      <c r="C88" s="245">
        <f t="shared" si="43"/>
        <v>29</v>
      </c>
      <c r="D88" s="97">
        <f t="shared" si="43"/>
        <v>13</v>
      </c>
      <c r="E88" s="69">
        <v>58</v>
      </c>
      <c r="F88" s="63" t="e">
        <f t="shared" si="27"/>
        <v>#VALUE!</v>
      </c>
      <c r="G88" s="57" t="e">
        <f t="shared" si="28"/>
        <v>#VALUE!</v>
      </c>
      <c r="H88" s="57" t="e">
        <f t="shared" si="48"/>
        <v>#VALUE!</v>
      </c>
      <c r="I88" s="57" t="e">
        <f t="shared" si="45"/>
        <v>#VALUE!</v>
      </c>
      <c r="J88" s="57" t="e">
        <f t="shared" si="49"/>
        <v>#VALUE!</v>
      </c>
      <c r="K88" s="57" t="e">
        <f t="shared" si="46"/>
        <v>#VALUE!</v>
      </c>
      <c r="L88" s="57" t="e">
        <f t="shared" si="50"/>
        <v>#VALUE!</v>
      </c>
      <c r="M88" s="57" t="e">
        <f t="shared" si="18"/>
        <v>#VALUE!</v>
      </c>
      <c r="N88" s="71" t="e">
        <f t="shared" si="47"/>
        <v>#VALUE!</v>
      </c>
      <c r="O88" s="70" t="e">
        <f t="shared" si="20"/>
        <v>#VALUE!</v>
      </c>
      <c r="P88" s="70" t="e">
        <f t="shared" si="34"/>
        <v>#VALUE!</v>
      </c>
      <c r="Q88" s="62" t="e">
        <f t="shared" si="51"/>
        <v>#VALUE!</v>
      </c>
      <c r="R88" s="62" t="e">
        <f t="shared" si="22"/>
        <v>#VALUE!</v>
      </c>
      <c r="S88" s="62" t="e">
        <f t="shared" si="23"/>
        <v>#VALUE!</v>
      </c>
      <c r="T88" s="62" t="e">
        <f t="shared" si="24"/>
        <v>#VALUE!</v>
      </c>
      <c r="U88" s="236" t="e">
        <f t="shared" si="25"/>
        <v>#VALUE!</v>
      </c>
      <c r="V88" s="59"/>
      <c r="W88" s="35"/>
      <c r="X88" s="47"/>
      <c r="Y88" s="90"/>
      <c r="Z88" s="39"/>
      <c r="AA88" s="47"/>
      <c r="AB88" s="47"/>
      <c r="AC88" s="47"/>
      <c r="AD88" s="39"/>
      <c r="AE88" s="56"/>
      <c r="AF88" s="37"/>
    </row>
    <row r="89" spans="2:32" s="53" customFormat="1">
      <c r="B89" s="54"/>
      <c r="C89" s="245">
        <f t="shared" si="43"/>
        <v>30</v>
      </c>
      <c r="D89" s="97">
        <f t="shared" si="43"/>
        <v>14</v>
      </c>
      <c r="E89" s="69">
        <v>45</v>
      </c>
      <c r="F89" s="63" t="e">
        <f t="shared" si="27"/>
        <v>#VALUE!</v>
      </c>
      <c r="G89" s="57" t="e">
        <f t="shared" si="28"/>
        <v>#VALUE!</v>
      </c>
      <c r="H89" s="57" t="e">
        <f t="shared" si="48"/>
        <v>#VALUE!</v>
      </c>
      <c r="I89" s="57" t="e">
        <f t="shared" si="45"/>
        <v>#VALUE!</v>
      </c>
      <c r="J89" s="57" t="e">
        <f t="shared" si="49"/>
        <v>#VALUE!</v>
      </c>
      <c r="K89" s="57" t="e">
        <f t="shared" si="46"/>
        <v>#VALUE!</v>
      </c>
      <c r="L89" s="57" t="e">
        <f t="shared" si="50"/>
        <v>#VALUE!</v>
      </c>
      <c r="M89" s="57" t="e">
        <f t="shared" si="18"/>
        <v>#VALUE!</v>
      </c>
      <c r="N89" s="71" t="e">
        <f t="shared" si="47"/>
        <v>#VALUE!</v>
      </c>
      <c r="O89" s="70" t="e">
        <f t="shared" si="20"/>
        <v>#VALUE!</v>
      </c>
      <c r="P89" s="70" t="e">
        <f t="shared" si="34"/>
        <v>#VALUE!</v>
      </c>
      <c r="Q89" s="62" t="e">
        <f t="shared" si="51"/>
        <v>#VALUE!</v>
      </c>
      <c r="R89" s="62" t="e">
        <f t="shared" si="22"/>
        <v>#VALUE!</v>
      </c>
      <c r="S89" s="62" t="e">
        <f t="shared" si="23"/>
        <v>#VALUE!</v>
      </c>
      <c r="T89" s="62" t="e">
        <f t="shared" si="24"/>
        <v>#VALUE!</v>
      </c>
      <c r="U89" s="236" t="e">
        <f t="shared" si="25"/>
        <v>#VALUE!</v>
      </c>
      <c r="V89" s="59"/>
      <c r="W89" s="35"/>
      <c r="X89" s="47"/>
      <c r="Y89" s="90"/>
      <c r="Z89" s="39"/>
      <c r="AA89" s="47"/>
      <c r="AB89" s="47"/>
      <c r="AC89" s="47"/>
      <c r="AD89" s="39"/>
      <c r="AE89" s="56"/>
      <c r="AF89" s="37"/>
    </row>
    <row r="90" spans="2:32" s="53" customFormat="1" ht="14.25" thickBot="1">
      <c r="B90" s="54"/>
      <c r="C90" s="246">
        <f t="shared" si="43"/>
        <v>31</v>
      </c>
      <c r="D90" s="65">
        <f t="shared" si="43"/>
        <v>15</v>
      </c>
      <c r="E90" s="72">
        <v>36</v>
      </c>
      <c r="F90" s="73" t="e">
        <f t="shared" si="27"/>
        <v>#VALUE!</v>
      </c>
      <c r="G90" s="75" t="e">
        <f t="shared" si="28"/>
        <v>#VALUE!</v>
      </c>
      <c r="H90" s="75" t="e">
        <f t="shared" si="48"/>
        <v>#VALUE!</v>
      </c>
      <c r="I90" s="75" t="e">
        <f t="shared" si="45"/>
        <v>#VALUE!</v>
      </c>
      <c r="J90" s="75" t="e">
        <f t="shared" si="49"/>
        <v>#VALUE!</v>
      </c>
      <c r="K90" s="75" t="e">
        <f t="shared" si="46"/>
        <v>#VALUE!</v>
      </c>
      <c r="L90" s="75" t="e">
        <f t="shared" si="50"/>
        <v>#VALUE!</v>
      </c>
      <c r="M90" s="75" t="e">
        <f t="shared" si="18"/>
        <v>#VALUE!</v>
      </c>
      <c r="N90" s="76" t="e">
        <f t="shared" si="47"/>
        <v>#VALUE!</v>
      </c>
      <c r="O90" s="77" t="e">
        <f t="shared" si="20"/>
        <v>#VALUE!</v>
      </c>
      <c r="P90" s="77" t="e">
        <f t="shared" si="34"/>
        <v>#VALUE!</v>
      </c>
      <c r="Q90" s="74" t="e">
        <f t="shared" si="51"/>
        <v>#VALUE!</v>
      </c>
      <c r="R90" s="74" t="e">
        <f t="shared" si="22"/>
        <v>#VALUE!</v>
      </c>
      <c r="S90" s="74" t="e">
        <f t="shared" si="23"/>
        <v>#VALUE!</v>
      </c>
      <c r="T90" s="74" t="e">
        <f t="shared" si="24"/>
        <v>#VALUE!</v>
      </c>
      <c r="U90" s="247" t="e">
        <f t="shared" si="25"/>
        <v>#VALUE!</v>
      </c>
      <c r="V90" s="59"/>
      <c r="W90" s="35"/>
      <c r="X90" s="47"/>
      <c r="Y90" s="90"/>
      <c r="Z90" s="39"/>
      <c r="AA90" s="47"/>
      <c r="AB90" s="47"/>
      <c r="AC90" s="47"/>
      <c r="AD90" s="39"/>
      <c r="AE90" s="56"/>
      <c r="AF90" s="37"/>
    </row>
    <row r="91" spans="2:32" s="53" customFormat="1" ht="14.25" thickBot="1">
      <c r="B91" s="54"/>
      <c r="C91" s="248" t="s">
        <v>11</v>
      </c>
      <c r="D91" s="249"/>
      <c r="E91" s="250">
        <f>SUM(E60:E90)</f>
        <v>2849</v>
      </c>
      <c r="F91" s="52"/>
      <c r="G91" s="61"/>
      <c r="H91" s="251"/>
      <c r="I91" s="61"/>
      <c r="J91" s="251"/>
      <c r="K91" s="61"/>
      <c r="L91" s="251"/>
      <c r="M91" s="61"/>
      <c r="N91" s="61"/>
      <c r="O91" s="52"/>
      <c r="P91" s="52"/>
      <c r="Q91" s="52"/>
      <c r="R91" s="252" t="e">
        <f>SUM(R60:R90)</f>
        <v>#VALUE!</v>
      </c>
      <c r="S91" s="253" t="e">
        <f>SUM(S60:S90)</f>
        <v>#VALUE!</v>
      </c>
      <c r="T91" s="252" t="e">
        <f>SUM(T60:T90)</f>
        <v>#VALUE!</v>
      </c>
      <c r="U91" s="254" t="e">
        <f t="shared" si="25"/>
        <v>#VALUE!</v>
      </c>
      <c r="V91" s="59"/>
      <c r="W91" s="35"/>
      <c r="X91" s="39"/>
      <c r="Y91" s="39"/>
      <c r="Z91" s="39"/>
      <c r="AA91" s="47"/>
      <c r="AB91" s="47"/>
      <c r="AC91" s="47"/>
      <c r="AD91" s="39"/>
      <c r="AE91" s="56"/>
      <c r="AF91" s="37"/>
    </row>
    <row r="92" spans="2:32" s="53" customFormat="1" ht="14.25" thickBot="1">
      <c r="B92" s="66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52"/>
      <c r="U92" s="255"/>
      <c r="V92" s="256"/>
      <c r="W92" s="35"/>
      <c r="X92" s="39"/>
      <c r="Y92" s="39"/>
      <c r="Z92" s="39"/>
      <c r="AA92" s="47"/>
      <c r="AB92" s="47"/>
      <c r="AC92" s="47"/>
      <c r="AD92" s="39"/>
      <c r="AE92" s="56"/>
      <c r="AF92" s="37"/>
    </row>
    <row r="94" spans="2:32">
      <c r="S94" s="92"/>
    </row>
  </sheetData>
  <sheetProtection password="CC43" sheet="1" formatCells="0" formatColumns="0" formatRows="0" insertColumns="0" insertRows="0" insertHyperlinks="0" deleteColumns="0" deleteRows="0" sort="0" autoFilter="0" pivotTables="0"/>
  <mergeCells count="41">
    <mergeCell ref="S52:T52"/>
    <mergeCell ref="S53:T53"/>
    <mergeCell ref="S54:T54"/>
    <mergeCell ref="C56:D56"/>
    <mergeCell ref="D44:D46"/>
    <mergeCell ref="E44:E46"/>
    <mergeCell ref="F44:F46"/>
    <mergeCell ref="G44:G46"/>
    <mergeCell ref="H44:H46"/>
    <mergeCell ref="I44:I46"/>
    <mergeCell ref="J44:J46"/>
    <mergeCell ref="K44:K46"/>
    <mergeCell ref="C54:C55"/>
    <mergeCell ref="C53:D53"/>
    <mergeCell ref="S51:T51"/>
    <mergeCell ref="B42:V42"/>
    <mergeCell ref="C44:C47"/>
    <mergeCell ref="E50:F50"/>
    <mergeCell ref="G50:I50"/>
    <mergeCell ref="J50:L50"/>
    <mergeCell ref="M50:O50"/>
    <mergeCell ref="P50:R50"/>
    <mergeCell ref="S50:T50"/>
    <mergeCell ref="B6:V6"/>
    <mergeCell ref="C8:C9"/>
    <mergeCell ref="C3:G3"/>
    <mergeCell ref="C4:G4"/>
    <mergeCell ref="B1:V1"/>
    <mergeCell ref="H3:I3"/>
    <mergeCell ref="H4:I4"/>
    <mergeCell ref="C18:E18"/>
    <mergeCell ref="P13:U13"/>
    <mergeCell ref="P12:R12"/>
    <mergeCell ref="S12:U12"/>
    <mergeCell ref="E12:F12"/>
    <mergeCell ref="G12:I12"/>
    <mergeCell ref="J12:L12"/>
    <mergeCell ref="M12:O12"/>
    <mergeCell ref="C15:D15"/>
    <mergeCell ref="E15:E16"/>
    <mergeCell ref="C16:D16"/>
  </mergeCells>
  <phoneticPr fontId="2" type="noConversion"/>
  <pageMargins left="0.7" right="0.7" top="0.75" bottom="0.75" header="0.3" footer="0.3"/>
  <pageSetup paperSize="9" orientation="portrait" r:id="rId1"/>
  <ignoredErrors>
    <ignoredError sqref="H4 U52:U5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Input</vt:lpstr>
      <vt:lpstr>Report</vt:lpstr>
      <vt:lpstr>가변용량(일반)</vt:lpstr>
      <vt:lpstr>Input!Print_Area</vt:lpstr>
      <vt:lpstr>Report!Print_Area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홈에디션</dc:creator>
  <cp:lastModifiedBy>노경완</cp:lastModifiedBy>
  <cp:lastPrinted>2017-11-17T06:19:16Z</cp:lastPrinted>
  <dcterms:created xsi:type="dcterms:W3CDTF">2012-11-04T08:37:34Z</dcterms:created>
  <dcterms:modified xsi:type="dcterms:W3CDTF">2018-07-09T00:03:43Z</dcterms:modified>
</cp:coreProperties>
</file>